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uzma\Desktop\ŽoNFP\6_1_aktualizácia\"/>
    </mc:Choice>
  </mc:AlternateContent>
  <workbookProtection workbookPassword="CD91" lockStructure="1"/>
  <bookViews>
    <workbookView xWindow="0" yWindow="0" windowWidth="28800" windowHeight="12660" activeTab="2"/>
  </bookViews>
  <sheets>
    <sheet name="6.1" sheetId="1" r:id="rId1"/>
    <sheet name="Nezamestanosť" sheetId="2" r:id="rId2"/>
    <sheet name="štandardný výstup" sheetId="3" r:id="rId3"/>
  </sheets>
  <calcPr calcId="152511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11" i="2"/>
  <c r="K9" i="3" l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39" i="3"/>
  <c r="G39" i="3" s="1"/>
  <c r="F38" i="3"/>
  <c r="G38" i="3" s="1"/>
  <c r="F37" i="3"/>
  <c r="G37" i="3" s="1"/>
  <c r="F35" i="3"/>
  <c r="G35" i="3" s="1"/>
  <c r="F34" i="3"/>
  <c r="G34" i="3" s="1"/>
  <c r="F32" i="3"/>
  <c r="G32" i="3" s="1"/>
  <c r="F31" i="3"/>
  <c r="G31" i="3" s="1"/>
  <c r="F30" i="3"/>
  <c r="G30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0" i="3"/>
  <c r="G20" i="3" s="1"/>
  <c r="F18" i="3"/>
  <c r="G18" i="3" s="1"/>
  <c r="F17" i="3"/>
  <c r="G17" i="3" s="1"/>
  <c r="F15" i="3"/>
  <c r="G15" i="3" s="1"/>
  <c r="F14" i="3"/>
  <c r="G14" i="3" s="1"/>
  <c r="F12" i="3"/>
  <c r="G12" i="3" s="1"/>
  <c r="F11" i="3"/>
  <c r="G11" i="3" s="1"/>
  <c r="F10" i="3"/>
  <c r="G10" i="3" s="1"/>
  <c r="G54" i="3" l="1"/>
  <c r="G53" i="3"/>
  <c r="C57" i="3"/>
  <c r="F9" i="3"/>
  <c r="G9" i="3" s="1"/>
  <c r="G52" i="3" s="1"/>
  <c r="B5" i="3"/>
  <c r="B4" i="3"/>
  <c r="G40" i="2"/>
  <c r="H40" i="2" s="1"/>
  <c r="E40" i="2"/>
  <c r="F40" i="2" s="1"/>
  <c r="G39" i="2"/>
  <c r="H39" i="2" s="1"/>
  <c r="E39" i="2"/>
  <c r="F39" i="2" s="1"/>
  <c r="G38" i="2"/>
  <c r="H38" i="2" s="1"/>
  <c r="E38" i="2"/>
  <c r="F38" i="2" s="1"/>
  <c r="G37" i="2"/>
  <c r="H37" i="2" s="1"/>
  <c r="E37" i="2"/>
  <c r="F37" i="2" s="1"/>
  <c r="G36" i="2"/>
  <c r="H36" i="2" s="1"/>
  <c r="E36" i="2"/>
  <c r="F36" i="2" s="1"/>
  <c r="G35" i="2"/>
  <c r="H35" i="2" s="1"/>
  <c r="E35" i="2"/>
  <c r="F35" i="2" s="1"/>
  <c r="G34" i="2"/>
  <c r="H34" i="2" s="1"/>
  <c r="E34" i="2"/>
  <c r="F34" i="2" s="1"/>
  <c r="G33" i="2"/>
  <c r="H33" i="2" s="1"/>
  <c r="E33" i="2"/>
  <c r="F33" i="2" s="1"/>
  <c r="G32" i="2"/>
  <c r="H32" i="2" s="1"/>
  <c r="E32" i="2"/>
  <c r="F32" i="2" s="1"/>
  <c r="G31" i="2"/>
  <c r="H31" i="2" s="1"/>
  <c r="E31" i="2"/>
  <c r="F31" i="2" s="1"/>
  <c r="G30" i="2"/>
  <c r="H30" i="2" s="1"/>
  <c r="E30" i="2"/>
  <c r="F30" i="2" s="1"/>
  <c r="G29" i="2"/>
  <c r="H29" i="2" s="1"/>
  <c r="E29" i="2"/>
  <c r="F29" i="2" s="1"/>
  <c r="G28" i="2"/>
  <c r="H28" i="2" s="1"/>
  <c r="E28" i="2"/>
  <c r="F28" i="2" s="1"/>
  <c r="G27" i="2"/>
  <c r="H27" i="2" s="1"/>
  <c r="E27" i="2"/>
  <c r="F27" i="2" s="1"/>
  <c r="G26" i="2"/>
  <c r="H26" i="2" s="1"/>
  <c r="E26" i="2"/>
  <c r="F26" i="2" s="1"/>
  <c r="G25" i="2"/>
  <c r="H25" i="2" s="1"/>
  <c r="E25" i="2"/>
  <c r="F25" i="2" s="1"/>
  <c r="G24" i="2"/>
  <c r="H24" i="2" s="1"/>
  <c r="E24" i="2"/>
  <c r="F24" i="2" s="1"/>
  <c r="G23" i="2"/>
  <c r="H23" i="2" s="1"/>
  <c r="E23" i="2"/>
  <c r="F23" i="2" s="1"/>
  <c r="G22" i="2"/>
  <c r="H22" i="2" s="1"/>
  <c r="E22" i="2"/>
  <c r="F22" i="2" s="1"/>
  <c r="G21" i="2"/>
  <c r="H21" i="2" s="1"/>
  <c r="E21" i="2"/>
  <c r="F21" i="2" s="1"/>
  <c r="G20" i="2"/>
  <c r="H20" i="2" s="1"/>
  <c r="E20" i="2"/>
  <c r="F20" i="2" s="1"/>
  <c r="G19" i="2"/>
  <c r="H19" i="2" s="1"/>
  <c r="E19" i="2"/>
  <c r="F19" i="2" s="1"/>
  <c r="G18" i="2"/>
  <c r="H18" i="2" s="1"/>
  <c r="E18" i="2"/>
  <c r="F18" i="2" s="1"/>
  <c r="G17" i="2"/>
  <c r="H17" i="2" s="1"/>
  <c r="E17" i="2"/>
  <c r="F17" i="2" s="1"/>
  <c r="G16" i="2"/>
  <c r="H16" i="2" s="1"/>
  <c r="E16" i="2"/>
  <c r="F16" i="2" s="1"/>
  <c r="G15" i="2"/>
  <c r="H15" i="2" s="1"/>
  <c r="E15" i="2"/>
  <c r="F15" i="2" s="1"/>
  <c r="G14" i="2"/>
  <c r="H14" i="2" s="1"/>
  <c r="E14" i="2"/>
  <c r="F14" i="2" s="1"/>
  <c r="G13" i="2"/>
  <c r="H13" i="2" s="1"/>
  <c r="E13" i="2"/>
  <c r="F13" i="2" s="1"/>
  <c r="G12" i="2"/>
  <c r="H12" i="2" s="1"/>
  <c r="E12" i="2"/>
  <c r="F12" i="2" s="1"/>
  <c r="I11" i="2"/>
  <c r="G11" i="2"/>
  <c r="H11" i="2" s="1"/>
  <c r="E11" i="2"/>
  <c r="B5" i="2"/>
  <c r="B4" i="2"/>
  <c r="B43" i="1"/>
  <c r="Q34" i="1"/>
  <c r="I34" i="1"/>
  <c r="B46" i="1" s="1"/>
  <c r="Q33" i="1"/>
  <c r="I33" i="1" s="1"/>
  <c r="B45" i="1" s="1"/>
  <c r="Q32" i="1"/>
  <c r="I32" i="1"/>
  <c r="B44" i="1" s="1"/>
  <c r="I28" i="1"/>
  <c r="Q25" i="1"/>
  <c r="I24" i="1" s="1"/>
  <c r="B42" i="1" s="1"/>
  <c r="Q18" i="1"/>
  <c r="I18" i="1" s="1"/>
  <c r="B40" i="1" s="1"/>
  <c r="E43" i="2" l="1"/>
  <c r="F11" i="2"/>
  <c r="F43" i="2" s="1"/>
  <c r="G55" i="3"/>
  <c r="R20" i="1"/>
  <c r="L9" i="3"/>
  <c r="K10" i="3"/>
  <c r="F44" i="2" l="1"/>
  <c r="E44" i="2" s="1"/>
  <c r="H16" i="1" s="1"/>
  <c r="B39" i="1" s="1"/>
  <c r="R21" i="1"/>
  <c r="I15" i="1" l="1"/>
  <c r="B41" i="1"/>
  <c r="H23" i="1"/>
  <c r="I22" i="1" s="1"/>
  <c r="Q20" i="1"/>
  <c r="K16" i="3"/>
  <c r="K13" i="3"/>
  <c r="K14" i="3" s="1"/>
  <c r="S20" i="1" l="1"/>
  <c r="T20" i="1" s="1"/>
  <c r="U20" i="1" s="1"/>
  <c r="V20" i="1" s="1"/>
  <c r="H21" i="1" s="1"/>
  <c r="S21" i="1"/>
  <c r="T21" i="1" s="1"/>
  <c r="U21" i="1" s="1"/>
  <c r="B59" i="3" l="1"/>
  <c r="B47" i="1" s="1"/>
  <c r="V21" i="1"/>
  <c r="H20" i="1" s="1"/>
  <c r="W20" i="1" l="1"/>
  <c r="I19" i="1" s="1"/>
  <c r="I35" i="1" s="1"/>
</calcChain>
</file>

<file path=xl/comments1.xml><?xml version="1.0" encoding="utf-8"?>
<comments xmlns="http://schemas.openxmlformats.org/spreadsheetml/2006/main">
  <authors>
    <author>Kužma Emil</author>
  </authors>
  <commentList>
    <comment ref="A53" authorId="0" shapeId="0">
      <text>
        <r>
          <rPr>
            <b/>
            <sz val="8"/>
            <color indexed="81"/>
            <rFont val="Segoe UI"/>
            <family val="2"/>
            <charset val="238"/>
          </rPr>
          <t>v skleníkoch alebo foliovníkoch, v sadoch alebo plantážach</t>
        </r>
      </text>
    </comment>
  </commentList>
</comments>
</file>

<file path=xl/sharedStrings.xml><?xml version="1.0" encoding="utf-8"?>
<sst xmlns="http://schemas.openxmlformats.org/spreadsheetml/2006/main" count="286" uniqueCount="204">
  <si>
    <t>Žiadateľ</t>
  </si>
  <si>
    <t>IČO</t>
  </si>
  <si>
    <t>NEZAMESTANOSŤ</t>
  </si>
  <si>
    <t>Projekt sa realizuje v okrese/okresoch:</t>
  </si>
  <si>
    <t>skryt</t>
  </si>
  <si>
    <t>P.č.</t>
  </si>
  <si>
    <t>Kraj - okres</t>
  </si>
  <si>
    <t>Okres</t>
  </si>
  <si>
    <t>Nezamestanosť</t>
  </si>
  <si>
    <t>kontrola</t>
  </si>
  <si>
    <t>kontrola1</t>
  </si>
  <si>
    <t>PRIEMER NEZAMESTNANOSŤ</t>
  </si>
  <si>
    <t>BA - Bratislava I</t>
  </si>
  <si>
    <t>BA - Bratislava II</t>
  </si>
  <si>
    <t>BA - Bratislava III</t>
  </si>
  <si>
    <t>BA - Bratislava IV</t>
  </si>
  <si>
    <t>BA - Bratislava V</t>
  </si>
  <si>
    <t>BA - Malacky</t>
  </si>
  <si>
    <t>BA - Pezinok</t>
  </si>
  <si>
    <t>BA - Senec</t>
  </si>
  <si>
    <t>TT - Dunajská Streda</t>
  </si>
  <si>
    <t>TT - Galanta</t>
  </si>
  <si>
    <t>TT - Hlohovec</t>
  </si>
  <si>
    <t>TT - Piešťany</t>
  </si>
  <si>
    <t>TT - Senica</t>
  </si>
  <si>
    <t>TT - Skalica</t>
  </si>
  <si>
    <t>TT - Trnava</t>
  </si>
  <si>
    <t>TN - Bánovce nad Bebravou</t>
  </si>
  <si>
    <t>TN - Ilava</t>
  </si>
  <si>
    <t>TN - Myjava</t>
  </si>
  <si>
    <t>TN - Nové Mesto nad Váhom</t>
  </si>
  <si>
    <t>TN - Partizánske</t>
  </si>
  <si>
    <t>TN - Považská Bystrica</t>
  </si>
  <si>
    <t>TN - Prievidza</t>
  </si>
  <si>
    <t>TN - Púchov</t>
  </si>
  <si>
    <t>TN - Trenčín</t>
  </si>
  <si>
    <t>NR - Komárno</t>
  </si>
  <si>
    <t>NR - Levice</t>
  </si>
  <si>
    <t>NR - Nitra</t>
  </si>
  <si>
    <t>NR - Nové Zámky</t>
  </si>
  <si>
    <t>NR - Šaľa</t>
  </si>
  <si>
    <t>NR - Topoľčany</t>
  </si>
  <si>
    <t>NR - Zlaté Moravce</t>
  </si>
  <si>
    <t>ZA - Bytča</t>
  </si>
  <si>
    <t>ZA - Čadca</t>
  </si>
  <si>
    <t>ZA - Dolný Kubín</t>
  </si>
  <si>
    <t>ZA - Kysucké Nové Mesto</t>
  </si>
  <si>
    <t>ZA - Liptovský Mikuláš</t>
  </si>
  <si>
    <t>ZA - Martin</t>
  </si>
  <si>
    <t>ZA - Námestovo</t>
  </si>
  <si>
    <t>ZA - Ružomberok</t>
  </si>
  <si>
    <t>ZA - Turčianske Teplice</t>
  </si>
  <si>
    <t>ZA - Tvrdošín</t>
  </si>
  <si>
    <t>ZA - Žilina</t>
  </si>
  <si>
    <t>BB - Banská Bystrica</t>
  </si>
  <si>
    <t>BB - Banská Štiavnica</t>
  </si>
  <si>
    <t>BB - Brezno</t>
  </si>
  <si>
    <t>BB - Detva</t>
  </si>
  <si>
    <t>BB - Krupina</t>
  </si>
  <si>
    <t>BB - Lučenec</t>
  </si>
  <si>
    <t>BB - Poltár</t>
  </si>
  <si>
    <t>BB - Revúca</t>
  </si>
  <si>
    <r>
      <rPr>
        <b/>
        <sz val="9"/>
        <rFont val="Arial"/>
        <family val="2"/>
        <charset val="238"/>
      </rPr>
      <t xml:space="preserve">BB - </t>
    </r>
    <r>
      <rPr>
        <sz val="9"/>
        <rFont val="Arial"/>
        <family val="2"/>
        <charset val="238"/>
      </rPr>
      <t>Rimavská Sobota</t>
    </r>
  </si>
  <si>
    <t>Projekt sa realizuje v okrese s priemernou mierou evidovanej nezamestnanosti v roku predchádzajúcom roku vyhlásenia výzvy:</t>
  </si>
  <si>
    <t>Kritérium</t>
  </si>
  <si>
    <t>Body</t>
  </si>
  <si>
    <t>Poznámka</t>
  </si>
  <si>
    <t>počet bodov</t>
  </si>
  <si>
    <t>Evidovaná miera nezamestnanosti v %</t>
  </si>
  <si>
    <t>– do 15 % vrátane</t>
  </si>
  <si>
    <t>– nad 15 %</t>
  </si>
  <si>
    <t>V prípade, ak sa projekt realizuje vo viacerých okresoch, body sa pridelia na základe nezamestnanosti vypočítanej aritmetickým priemerom z údajov nezamestnanosti všetkých okresov, kde sa projekt realizuje.</t>
  </si>
  <si>
    <t>V prípade, že  bude môcť podať žiadosť len SHR body sa uplatnia pre všetkých žiadateľov  v plnej výške.</t>
  </si>
  <si>
    <t>Žiadateľ bude mať podnikateľský plán zameraný:</t>
  </si>
  <si>
    <t>a)  minimálne 60 % štandardného výstupu  na živočíšnu výrobu</t>
  </si>
  <si>
    <t>b) minimálne 60 % štandardného výstupu na pestovanie ovocia a zeleniny v skleníkoch alebo fóliovníkoch, v sadoch alebo plantážach</t>
  </si>
  <si>
    <t>V prípade že sa  60 % dosiahne za obidve kategórie žiadateľ získa počet bodov vypočítaný váženým aritmetickým priemerom.</t>
  </si>
  <si>
    <t>Žiadateľ bude  v žiadosti deklarovať dosiahnutie štandardného výstupu viac ako 25 000 EUR.</t>
  </si>
  <si>
    <t>Žiadateľ má:</t>
  </si>
  <si>
    <t>a. vysokoškolské vzdelanie poľnohospodárskeho, veterinárneho  alebo potravinárskeho zamerania</t>
  </si>
  <si>
    <t xml:space="preserve">b. stredoškolské vzdelanie poľnohospodárskeho alebo potravinárskeho zamerania s maturitou alebo bez maturity </t>
  </si>
  <si>
    <t xml:space="preserve">c. nemá vzdelanie poľnohospodárskeho alebo potravinárskeho zamerania </t>
  </si>
  <si>
    <t>Maximálny počet bodov je 21</t>
  </si>
  <si>
    <t>Žiadateľ sa zaviaže, že počas nasledujúcich troch rokov po schválení žiadosti zamestná na trvalý pracovný pomer na  celý úväzok ( vrátane seba ):</t>
  </si>
  <si>
    <t>a) dvoch  a viac pracovníkov</t>
  </si>
  <si>
    <t>b) jedného pracovníka</t>
  </si>
  <si>
    <t>c) žiadneho pracovníka</t>
  </si>
  <si>
    <t>Spôsob uplatňovania bude uvedený vo výzve resp. v zmluve o NFP. Maximálny počet bodov je 20.</t>
  </si>
  <si>
    <t>Žiadateľ bol počas posledných troch rokov pred podaním žiadosti o NFP   minimálne 2 roky vedený v evidencii nezamestnaných alebo na materskej alebo rodičovskej dovolenke.</t>
  </si>
  <si>
    <t>Žiadateľ sa vo svojom podnikateľskom pláne resp. v žiadosti  zaviaže podnikať  v rámci ekologického poľnohospodárstva a zaregistrovať sa do ekologického poľnohospodárstva v rámci celej živočíšnej výroby a špecializovanej výroby, z ktorej počíta predpokladaný štandardný výstup  a to do dňa  realizovania projektu a požiadania o druhú platbu</t>
  </si>
  <si>
    <t>Žiadateľ úspešne ukončil denné učňovské, stredoškolské alebo vysokoškolské štúdium poľnohospodárskeho, potravinárskeho alebo veterinárneho zamerania v predchádzajúcom  alebo danom roku ako bola vyhlásená výzva ( t.z.  je čerstvým absolventom ).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</si>
  <si>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</si>
  <si>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</si>
  <si>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</si>
  <si>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</si>
  <si>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</si>
  <si>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</si>
  <si>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</si>
  <si>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</si>
  <si>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</si>
  <si>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štandardný výstup</t>
  </si>
  <si>
    <t>rastlinná</t>
  </si>
  <si>
    <t>živočíšna</t>
  </si>
  <si>
    <t>výsledok</t>
  </si>
  <si>
    <t>percento</t>
  </si>
  <si>
    <t>ak je chyba</t>
  </si>
  <si>
    <t>Percento pre pridelenie bodov</t>
  </si>
  <si>
    <t>Štandardný výstup</t>
  </si>
  <si>
    <t>Súčet bodov</t>
  </si>
  <si>
    <t>Kontrola vyplnenia</t>
  </si>
  <si>
    <t>Spôsob uplatňovania bude uvedený vo výzve resp. v zmluve o NFP. Môže byť uplatnené len jedno z kritérií 7 alebo  9.</t>
  </si>
  <si>
    <t>Oprávnená komodita</t>
  </si>
  <si>
    <t>merná jednotka</t>
  </si>
  <si>
    <t>Hodnota štandardného výstupu v EUR na mernú jednotku</t>
  </si>
  <si>
    <t>počet/výmera</t>
  </si>
  <si>
    <t>Výstup1</t>
  </si>
  <si>
    <t>Rastlinná výroba</t>
  </si>
  <si>
    <t>x</t>
  </si>
  <si>
    <t>Strukoviny</t>
  </si>
  <si>
    <t>ha</t>
  </si>
  <si>
    <t>Zemiaky</t>
  </si>
  <si>
    <t>Vinohrady</t>
  </si>
  <si>
    <t>Živočíšna výroba</t>
  </si>
  <si>
    <t>Kone a koňovité zvieratá</t>
  </si>
  <si>
    <t>ks</t>
  </si>
  <si>
    <t>Hovädzí dobytok</t>
  </si>
  <si>
    <t>HD mladší ako 1 rok</t>
  </si>
  <si>
    <t>býky od 1 do 2 rokov</t>
  </si>
  <si>
    <t>jalovice od 1 do 2 rokov</t>
  </si>
  <si>
    <t>býky staršie ako 2 roky</t>
  </si>
  <si>
    <t>jalovice staršie ako 2 roky</t>
  </si>
  <si>
    <t>dojnice</t>
  </si>
  <si>
    <t>ostatné kravy staršie ako 2 roky</t>
  </si>
  <si>
    <t>Ovce</t>
  </si>
  <si>
    <t>bahnice</t>
  </si>
  <si>
    <t>jarky</t>
  </si>
  <si>
    <t>ostatné ovce</t>
  </si>
  <si>
    <t>Kozy</t>
  </si>
  <si>
    <t>chovné samice</t>
  </si>
  <si>
    <t>ostatné</t>
  </si>
  <si>
    <t>Ošípané</t>
  </si>
  <si>
    <t>chovné prasnice</t>
  </si>
  <si>
    <t>ostatné ošípané</t>
  </si>
  <si>
    <t>Hydina</t>
  </si>
  <si>
    <t>brojlery</t>
  </si>
  <si>
    <t>nosnice</t>
  </si>
  <si>
    <t>morky</t>
  </si>
  <si>
    <t xml:space="preserve">kačky </t>
  </si>
  <si>
    <t>husi</t>
  </si>
  <si>
    <t>Králiky - chovné samice</t>
  </si>
  <si>
    <t>Štandardný výstup živočíšna výroba</t>
  </si>
  <si>
    <t xml:space="preserve">Štandardný výstup ovocie a zelenina </t>
  </si>
  <si>
    <t>SPOLU štandardný výstup</t>
  </si>
  <si>
    <t>Minimálna hodnota štandardného výstupu</t>
  </si>
  <si>
    <t>DOSIAHNUTÝ ŠTANDARDNÝ VÝSTUP</t>
  </si>
  <si>
    <t>Počet zamestnaných na trvalý pracovný pomer</t>
  </si>
  <si>
    <t>výsledok výpočtu</t>
  </si>
  <si>
    <t>Žiadateľ bude podnikať ako SHR (ako fyzická a nie ako právnická  osoba):</t>
  </si>
  <si>
    <t>BODOVACIE KRITÉRIA</t>
  </si>
  <si>
    <t>ŠTANDARDNÝ VÝSTUP</t>
  </si>
  <si>
    <t>Tabuľka č. 1</t>
  </si>
  <si>
    <t>Tabuľka č. 2</t>
  </si>
  <si>
    <t>Tabuľka č. 3</t>
  </si>
  <si>
    <t>Aromatické, liečivé, koreninové rastliny a byliny</t>
  </si>
  <si>
    <t>Zelenina, melóny a jahody:</t>
  </si>
  <si>
    <t>Ovocie mierneho pásma:</t>
  </si>
  <si>
    <t>-   otvorené priestranstvo (orná pôda)</t>
  </si>
  <si>
    <t>-   sady</t>
  </si>
  <si>
    <t>Včelstvá – úľ</t>
  </si>
  <si>
    <t>Štandardný výstup rastlinná výroba</t>
  </si>
  <si>
    <t>Dosiahnutý štandardný výstup</t>
  </si>
  <si>
    <t>prasiatka (do 20 kg)</t>
  </si>
  <si>
    <t>Aromatické, liečivé, koreninové rastliny a byliny kryté priestranstvo (skleník, fóliovník)</t>
  </si>
  <si>
    <t>-   kryté priestranstvo (skleník, fóliovník)</t>
  </si>
  <si>
    <t>BB - Veľký Krtíš</t>
  </si>
  <si>
    <t>BB - Zvolen</t>
  </si>
  <si>
    <t>BB - Žarnovica</t>
  </si>
  <si>
    <t>BB - Žiar nad Hronom</t>
  </si>
  <si>
    <t>PR - Bardejov</t>
  </si>
  <si>
    <t>PR - Humenné</t>
  </si>
  <si>
    <t>PR - Kežmarok</t>
  </si>
  <si>
    <t>PR - Levoča</t>
  </si>
  <si>
    <t>PR - Medzilaborce</t>
  </si>
  <si>
    <t>PR - Poprad</t>
  </si>
  <si>
    <t>PR - Prešov</t>
  </si>
  <si>
    <t>PR - Sabinov</t>
  </si>
  <si>
    <t>PR - Snina</t>
  </si>
  <si>
    <t>PR - Stará Ľubovňa</t>
  </si>
  <si>
    <t>PR - Stropkov</t>
  </si>
  <si>
    <t>PR - Svidník</t>
  </si>
  <si>
    <t>PR - Vranov nad Topľou</t>
  </si>
  <si>
    <t>KE - Gelnica</t>
  </si>
  <si>
    <t>KE - Košice I</t>
  </si>
  <si>
    <t>KE - Košice II</t>
  </si>
  <si>
    <t>KE - Košice III</t>
  </si>
  <si>
    <t>KE - Košice IV</t>
  </si>
  <si>
    <t>KE - Košice - okolie</t>
  </si>
  <si>
    <t>KE - Michalovce</t>
  </si>
  <si>
    <t>KE - Rožňava</t>
  </si>
  <si>
    <t>KE - Sobrance</t>
  </si>
  <si>
    <t>KE - Spišská Nová Ves</t>
  </si>
  <si>
    <t>KE - Trebišov</t>
  </si>
  <si>
    <t>ostatná hydina (vedená v CEHZ)</t>
  </si>
  <si>
    <t>Minimálna hodnota štandardného výstupu pre danu komoditu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</si>
</sst>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81"/>
      <name val="Segoe UI"/>
      <family val="2"/>
      <charset val="238"/>
    </font>
    <font>
      <sz val="8"/>
      <color rgb="FF000000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 applyAlignment="1" applyProtection="1">
      <alignment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4" fontId="6" fillId="0" borderId="0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8" fillId="0" borderId="0" xfId="0" applyFont="1"/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0" xfId="0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2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0" xfId="1" applyFont="1"/>
    <xf numFmtId="0" fontId="12" fillId="0" borderId="0" xfId="1"/>
    <xf numFmtId="0" fontId="4" fillId="0" borderId="0" xfId="1" applyFont="1"/>
    <xf numFmtId="0" fontId="6" fillId="0" borderId="0" xfId="1" applyFont="1" applyAlignment="1">
      <alignment vertical="center"/>
    </xf>
    <xf numFmtId="0" fontId="12" fillId="4" borderId="0" xfId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1" fillId="0" borderId="1" xfId="1" applyFont="1" applyBorder="1" applyProtection="1">
      <protection locked="0"/>
    </xf>
    <xf numFmtId="0" fontId="12" fillId="0" borderId="1" xfId="1" applyBorder="1"/>
    <xf numFmtId="0" fontId="8" fillId="0" borderId="1" xfId="1" applyFont="1" applyBorder="1" applyAlignment="1" applyProtection="1">
      <alignment vertical="center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12" fillId="4" borderId="0" xfId="1" applyFill="1"/>
    <xf numFmtId="4" fontId="8" fillId="4" borderId="0" xfId="1" applyNumberFormat="1" applyFont="1" applyFill="1"/>
    <xf numFmtId="0" fontId="8" fillId="4" borderId="0" xfId="1" applyFont="1" applyFill="1"/>
    <xf numFmtId="2" fontId="6" fillId="0" borderId="0" xfId="1" applyNumberFormat="1" applyFont="1" applyAlignment="1">
      <alignment vertical="center"/>
    </xf>
    <xf numFmtId="0" fontId="8" fillId="0" borderId="0" xfId="1" applyFont="1"/>
    <xf numFmtId="0" fontId="0" fillId="0" borderId="4" xfId="0" applyFont="1" applyBorder="1" applyAlignment="1">
      <alignment vertical="center" wrapText="1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9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1" fontId="9" fillId="0" borderId="4" xfId="0" applyNumberFormat="1" applyFont="1" applyFill="1" applyBorder="1" applyAlignment="1" applyProtection="1">
      <alignment horizontal="center" vertical="center"/>
      <protection hidden="1"/>
    </xf>
    <xf numFmtId="1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locked="0" hidden="1"/>
    </xf>
    <xf numFmtId="4" fontId="0" fillId="5" borderId="0" xfId="0" applyNumberFormat="1" applyFill="1" applyAlignment="1" applyProtection="1">
      <alignment vertical="center"/>
      <protection locked="0" hidden="1"/>
    </xf>
    <xf numFmtId="4" fontId="0" fillId="3" borderId="0" xfId="0" applyNumberFormat="1" applyFill="1" applyAlignment="1" applyProtection="1">
      <alignment vertical="center"/>
      <protection locked="0" hidden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0" fontId="0" fillId="0" borderId="0" xfId="0" applyFont="1" applyFill="1" applyAlignment="1">
      <alignment vertical="center"/>
    </xf>
    <xf numFmtId="4" fontId="2" fillId="0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/>
    <xf numFmtId="0" fontId="2" fillId="5" borderId="0" xfId="0" applyFont="1" applyFill="1" applyAlignment="1" applyProtection="1">
      <alignment horizontal="center" vertical="center" wrapText="1"/>
      <protection locked="0" hidden="1"/>
    </xf>
    <xf numFmtId="4" fontId="0" fillId="4" borderId="0" xfId="0" applyNumberFormat="1" applyFont="1" applyFill="1" applyProtection="1">
      <protection locked="0" hidden="1"/>
    </xf>
    <xf numFmtId="4" fontId="0" fillId="0" borderId="0" xfId="0" applyNumberFormat="1" applyFont="1" applyProtection="1">
      <protection locked="0" hidden="1"/>
    </xf>
    <xf numFmtId="4" fontId="0" fillId="4" borderId="0" xfId="0" applyNumberFormat="1" applyFont="1" applyFill="1" applyAlignment="1" applyProtection="1">
      <alignment vertical="center"/>
      <protection locked="0" hidden="1"/>
    </xf>
    <xf numFmtId="0" fontId="0" fillId="0" borderId="0" xfId="0" applyFont="1" applyProtection="1">
      <protection locked="0" hidden="1"/>
    </xf>
    <xf numFmtId="0" fontId="0" fillId="4" borderId="0" xfId="0" applyFont="1" applyFill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3" xfId="1" applyNumberFormat="1" applyFont="1" applyBorder="1" applyAlignment="1" applyProtection="1">
      <alignment vertical="center"/>
      <protection locked="0" hidden="1"/>
    </xf>
    <xf numFmtId="0" fontId="2" fillId="0" borderId="0" xfId="1" applyNumberFormat="1" applyFont="1" applyBorder="1" applyAlignment="1" applyProtection="1">
      <alignment vertical="center"/>
      <protection locked="0" hidden="1"/>
    </xf>
    <xf numFmtId="0" fontId="0" fillId="0" borderId="0" xfId="0" applyFont="1" applyAlignment="1" applyProtection="1">
      <alignment vertical="center"/>
      <protection hidden="1"/>
    </xf>
    <xf numFmtId="0" fontId="0" fillId="0" borderId="5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 wrapText="1" indent="3"/>
    </xf>
    <xf numFmtId="4" fontId="0" fillId="0" borderId="5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2"/>
    </xf>
    <xf numFmtId="0" fontId="0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justify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4" fontId="0" fillId="0" borderId="5" xfId="0" applyNumberFormat="1" applyFont="1" applyFill="1" applyBorder="1" applyProtection="1">
      <protection hidden="1"/>
    </xf>
    <xf numFmtId="4" fontId="0" fillId="0" borderId="5" xfId="0" applyNumberFormat="1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center" vertical="center"/>
      <protection hidden="1"/>
    </xf>
    <xf numFmtId="0" fontId="0" fillId="6" borderId="5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 applyProtection="1">
      <alignment horizontal="center" vertical="center"/>
      <protection locked="0"/>
    </xf>
    <xf numFmtId="3" fontId="0" fillId="0" borderId="5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vertical="center"/>
      <protection hidden="1"/>
    </xf>
    <xf numFmtId="0" fontId="11" fillId="7" borderId="0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justify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1" applyNumberFormat="1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15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" fontId="9" fillId="0" borderId="4" xfId="0" applyNumberFormat="1" applyFont="1" applyFill="1" applyBorder="1" applyAlignment="1" applyProtection="1">
      <alignment horizontal="center" vertical="center"/>
      <protection hidden="1"/>
    </xf>
    <xf numFmtId="4" fontId="9" fillId="0" borderId="8" xfId="0" applyNumberFormat="1" applyFont="1" applyFill="1" applyBorder="1" applyAlignment="1" applyProtection="1">
      <alignment horizontal="center" vertical="center"/>
      <protection hidden="1"/>
    </xf>
    <xf numFmtId="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NumberFormat="1" applyFont="1" applyFill="1" applyBorder="1" applyAlignment="1" applyProtection="1">
      <alignment horizontal="center" vertical="center"/>
      <protection hidden="1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" xfId="1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4" fontId="0" fillId="0" borderId="5" xfId="0" applyNumberFormat="1" applyFont="1" applyFill="1" applyBorder="1" applyAlignment="1">
      <alignment horizontal="right" vertical="center" wrapText="1" indent="2"/>
    </xf>
    <xf numFmtId="4" fontId="0" fillId="0" borderId="1" xfId="0" applyNumberFormat="1" applyFont="1" applyFill="1" applyBorder="1" applyAlignment="1">
      <alignment horizontal="center" vertical="center"/>
    </xf>
  </cellXfs>
  <cellStyles count="2">
    <cellStyle name="Normálne" xfId="0" builtinId="0"/>
    <cellStyle name="Normálne 2" xfId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3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$P$3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$P$34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P$1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P$2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P$3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17</xdr:row>
          <xdr:rowOff>95250</xdr:rowOff>
        </xdr:from>
        <xdr:to>
          <xdr:col>7</xdr:col>
          <xdr:colOff>1095375</xdr:colOff>
          <xdr:row>17</xdr:row>
          <xdr:rowOff>276225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17</xdr:row>
          <xdr:rowOff>352425</xdr:rowOff>
        </xdr:from>
        <xdr:to>
          <xdr:col>7</xdr:col>
          <xdr:colOff>1095375</xdr:colOff>
          <xdr:row>17</xdr:row>
          <xdr:rowOff>533400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24</xdr:row>
          <xdr:rowOff>95250</xdr:rowOff>
        </xdr:from>
        <xdr:to>
          <xdr:col>7</xdr:col>
          <xdr:colOff>1123950</xdr:colOff>
          <xdr:row>24</xdr:row>
          <xdr:rowOff>276225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25</xdr:row>
          <xdr:rowOff>95250</xdr:rowOff>
        </xdr:from>
        <xdr:to>
          <xdr:col>7</xdr:col>
          <xdr:colOff>1123950</xdr:colOff>
          <xdr:row>25</xdr:row>
          <xdr:rowOff>276225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26</xdr:row>
          <xdr:rowOff>95250</xdr:rowOff>
        </xdr:from>
        <xdr:to>
          <xdr:col>7</xdr:col>
          <xdr:colOff>1123950</xdr:colOff>
          <xdr:row>26</xdr:row>
          <xdr:rowOff>276225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32</xdr:row>
          <xdr:rowOff>247650</xdr:rowOff>
        </xdr:from>
        <xdr:to>
          <xdr:col>7</xdr:col>
          <xdr:colOff>1133475</xdr:colOff>
          <xdr:row>32</xdr:row>
          <xdr:rowOff>428625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32</xdr:row>
          <xdr:rowOff>523875</xdr:rowOff>
        </xdr:from>
        <xdr:to>
          <xdr:col>7</xdr:col>
          <xdr:colOff>1133475</xdr:colOff>
          <xdr:row>32</xdr:row>
          <xdr:rowOff>704850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32</xdr:row>
          <xdr:rowOff>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31</xdr:row>
          <xdr:rowOff>247650</xdr:rowOff>
        </xdr:from>
        <xdr:to>
          <xdr:col>7</xdr:col>
          <xdr:colOff>1152525</xdr:colOff>
          <xdr:row>31</xdr:row>
          <xdr:rowOff>428625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31</xdr:row>
          <xdr:rowOff>533400</xdr:rowOff>
        </xdr:from>
        <xdr:to>
          <xdr:col>7</xdr:col>
          <xdr:colOff>1152525</xdr:colOff>
          <xdr:row>31</xdr:row>
          <xdr:rowOff>714375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33</xdr:row>
          <xdr:rowOff>123825</xdr:rowOff>
        </xdr:from>
        <xdr:to>
          <xdr:col>7</xdr:col>
          <xdr:colOff>1123950</xdr:colOff>
          <xdr:row>33</xdr:row>
          <xdr:rowOff>304800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33</xdr:row>
          <xdr:rowOff>400050</xdr:rowOff>
        </xdr:from>
        <xdr:to>
          <xdr:col>7</xdr:col>
          <xdr:colOff>1123950</xdr:colOff>
          <xdr:row>33</xdr:row>
          <xdr:rowOff>581025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uľka1" displayName="Tabuľka1" ref="A7:G48" totalsRowShown="0" headerRowDxfId="8" tableBorderDxfId="7">
  <tableColumns count="7">
    <tableColumn id="1" name="Oprávnená komodita" dataDxfId="6"/>
    <tableColumn id="2" name="merná jednotka" dataDxfId="5"/>
    <tableColumn id="3" name="Hodnota štandardného výstupu v EUR na mernú jednotku" dataDxfId="4"/>
    <tableColumn id="4" name="Minimálna hodnota štandardného výstupu pre danu komoditu v EUR" dataDxfId="3"/>
    <tableColumn id="5" name="počet/výmera" dataDxfId="2"/>
    <tableColumn id="6" name="Výstup1" dataDxfId="1">
      <calculatedColumnFormula>C8*E8</calculatedColumnFormula>
    </tableColumn>
    <tableColumn id="7" name="Dosiahnutý štandardný výstup" dataDxfId="0">
      <calculatedColumnFormula>IF(F8=0,"",F8)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W80"/>
  <sheetViews>
    <sheetView topLeftCell="A11" workbookViewId="0">
      <selection activeCell="J3" sqref="J1:Y1048576"/>
    </sheetView>
  </sheetViews>
  <sheetFormatPr defaultRowHeight="12.75" x14ac:dyDescent="0.2"/>
  <cols>
    <col min="1" max="1" width="4.42578125" bestFit="1" customWidth="1"/>
    <col min="2" max="2" width="27.42578125" bestFit="1" customWidth="1"/>
    <col min="3" max="3" width="17.28515625" customWidth="1"/>
    <col min="5" max="5" width="8.42578125" customWidth="1"/>
    <col min="6" max="6" width="6" customWidth="1"/>
    <col min="7" max="7" width="36.5703125" customWidth="1"/>
    <col min="8" max="8" width="17.7109375" customWidth="1"/>
    <col min="9" max="9" width="12.140625" customWidth="1"/>
    <col min="10" max="12" width="0" hidden="1" customWidth="1"/>
    <col min="13" max="13" width="23.7109375" hidden="1" customWidth="1"/>
    <col min="14" max="15" width="9.140625" hidden="1" customWidth="1"/>
    <col min="16" max="16" width="16.7109375" hidden="1" customWidth="1"/>
    <col min="17" max="17" width="11.7109375" hidden="1" customWidth="1"/>
    <col min="18" max="18" width="14.28515625" hidden="1" customWidth="1"/>
    <col min="19" max="19" width="18" hidden="1" customWidth="1"/>
    <col min="20" max="22" width="14.28515625" hidden="1" customWidth="1"/>
    <col min="23" max="23" width="16.7109375" hidden="1" customWidth="1"/>
    <col min="24" max="25" width="0" hidden="1" customWidth="1"/>
  </cols>
  <sheetData>
    <row r="1" spans="1:14" x14ac:dyDescent="0.2">
      <c r="A1" s="39" t="s">
        <v>160</v>
      </c>
      <c r="B1" s="1"/>
    </row>
    <row r="2" spans="1:14" x14ac:dyDescent="0.2">
      <c r="A2" s="41" t="s">
        <v>158</v>
      </c>
      <c r="B2" s="2"/>
      <c r="M2" s="3" t="s">
        <v>12</v>
      </c>
      <c r="N2" s="4">
        <v>4.99</v>
      </c>
    </row>
    <row r="3" spans="1:14" x14ac:dyDescent="0.2">
      <c r="B3" s="5"/>
      <c r="C3" s="6"/>
      <c r="M3" s="3" t="s">
        <v>13</v>
      </c>
      <c r="N3" s="4">
        <v>6.67</v>
      </c>
    </row>
    <row r="4" spans="1:14" x14ac:dyDescent="0.2">
      <c r="M4" s="3" t="s">
        <v>14</v>
      </c>
      <c r="N4" s="4">
        <v>5.87</v>
      </c>
    </row>
    <row r="5" spans="1:14" ht="15" customHeight="1" x14ac:dyDescent="0.2">
      <c r="B5" s="7" t="s">
        <v>0</v>
      </c>
      <c r="C5" s="129"/>
      <c r="D5" s="129"/>
      <c r="E5" s="129"/>
      <c r="F5" s="129"/>
      <c r="G5" s="129"/>
      <c r="H5" s="129"/>
      <c r="I5" s="129"/>
      <c r="J5" s="8"/>
      <c r="K5" s="9"/>
      <c r="L5" s="9"/>
      <c r="M5" s="3" t="s">
        <v>15</v>
      </c>
      <c r="N5" s="4">
        <v>5.49</v>
      </c>
    </row>
    <row r="6" spans="1:14" ht="15" customHeight="1" x14ac:dyDescent="0.2">
      <c r="B6" s="86" t="s">
        <v>1</v>
      </c>
      <c r="C6" s="123"/>
      <c r="D6" s="8"/>
      <c r="E6" s="8"/>
      <c r="F6" s="8"/>
      <c r="G6" s="8"/>
      <c r="H6" s="8"/>
      <c r="I6" s="8"/>
      <c r="J6" s="8"/>
      <c r="K6" s="9"/>
      <c r="L6" s="9"/>
      <c r="M6" s="3" t="s">
        <v>16</v>
      </c>
      <c r="N6" s="4">
        <v>5.3</v>
      </c>
    </row>
    <row r="7" spans="1:14" ht="15" hidden="1" customHeight="1" x14ac:dyDescent="0.2">
      <c r="B7" s="7"/>
      <c r="C7" s="10"/>
      <c r="D7" s="11"/>
      <c r="E7" s="11"/>
      <c r="F7" s="11"/>
      <c r="G7" s="11"/>
      <c r="H7" s="11"/>
      <c r="I7" s="11"/>
      <c r="J7" s="11"/>
      <c r="K7" s="12"/>
      <c r="L7" s="12"/>
      <c r="M7" s="3" t="s">
        <v>17</v>
      </c>
      <c r="N7" s="4">
        <v>7.43</v>
      </c>
    </row>
    <row r="8" spans="1:14" hidden="1" x14ac:dyDescent="0.2">
      <c r="B8" s="13"/>
      <c r="C8" s="14"/>
      <c r="D8" s="15"/>
      <c r="E8" s="15"/>
      <c r="F8" s="15"/>
      <c r="G8" s="15"/>
      <c r="H8" s="16"/>
      <c r="I8" s="16"/>
      <c r="J8" s="16"/>
      <c r="M8" s="3" t="s">
        <v>18</v>
      </c>
      <c r="N8" s="4">
        <v>7.41</v>
      </c>
    </row>
    <row r="9" spans="1:14" hidden="1" x14ac:dyDescent="0.2">
      <c r="B9" s="13"/>
      <c r="C9" s="14"/>
      <c r="D9" s="15"/>
      <c r="E9" s="15"/>
      <c r="F9" s="15"/>
      <c r="G9" s="15"/>
      <c r="H9" s="16"/>
      <c r="I9" s="16"/>
      <c r="J9" s="16"/>
      <c r="M9" s="3" t="s">
        <v>19</v>
      </c>
      <c r="N9" s="4">
        <v>6.22</v>
      </c>
    </row>
    <row r="10" spans="1:14" ht="28.5" hidden="1" customHeight="1" x14ac:dyDescent="0.2">
      <c r="B10" s="13"/>
      <c r="C10" s="14"/>
      <c r="D10" s="15"/>
      <c r="E10" s="15"/>
      <c r="F10" s="15"/>
      <c r="G10" s="15"/>
      <c r="H10" s="16"/>
      <c r="I10" s="16"/>
      <c r="J10" s="16"/>
      <c r="M10" s="3" t="s">
        <v>20</v>
      </c>
      <c r="N10" s="4">
        <v>10.34</v>
      </c>
    </row>
    <row r="11" spans="1:14" x14ac:dyDescent="0.2">
      <c r="M11" s="3" t="s">
        <v>21</v>
      </c>
      <c r="N11" s="4">
        <v>5.43</v>
      </c>
    </row>
    <row r="12" spans="1:14" x14ac:dyDescent="0.2">
      <c r="M12" s="3" t="s">
        <v>22</v>
      </c>
      <c r="N12" s="4">
        <v>7.87</v>
      </c>
    </row>
    <row r="13" spans="1:14" x14ac:dyDescent="0.2">
      <c r="A13" s="17"/>
      <c r="B13" s="17"/>
      <c r="C13" s="17"/>
      <c r="D13" s="17"/>
      <c r="E13" s="17"/>
      <c r="F13" s="17"/>
      <c r="G13" s="17"/>
      <c r="H13" s="18"/>
      <c r="J13" s="18"/>
      <c r="K13" s="18"/>
      <c r="L13" s="18"/>
      <c r="M13" s="3" t="s">
        <v>23</v>
      </c>
      <c r="N13" s="4">
        <v>7.51</v>
      </c>
    </row>
    <row r="14" spans="1:14" x14ac:dyDescent="0.2">
      <c r="A14" s="19" t="s">
        <v>5</v>
      </c>
      <c r="B14" s="130" t="s">
        <v>64</v>
      </c>
      <c r="C14" s="130"/>
      <c r="D14" s="130"/>
      <c r="E14" s="130"/>
      <c r="F14" s="20" t="s">
        <v>65</v>
      </c>
      <c r="G14" s="21" t="s">
        <v>66</v>
      </c>
      <c r="H14" s="22"/>
      <c r="I14" s="21" t="s">
        <v>67</v>
      </c>
      <c r="M14" s="3" t="s">
        <v>24</v>
      </c>
      <c r="N14" s="4">
        <v>11.25</v>
      </c>
    </row>
    <row r="15" spans="1:14" ht="25.5" x14ac:dyDescent="0.2">
      <c r="A15" s="131" t="s">
        <v>91</v>
      </c>
      <c r="B15" s="126" t="s">
        <v>63</v>
      </c>
      <c r="C15" s="127"/>
      <c r="D15" s="127"/>
      <c r="E15" s="128"/>
      <c r="F15" s="23"/>
      <c r="G15" s="134" t="s">
        <v>71</v>
      </c>
      <c r="H15" s="24" t="s">
        <v>68</v>
      </c>
      <c r="I15" s="137">
        <f>IF(H16&gt;15,25,IF(AND(H16&lt;=15),23,))</f>
        <v>23</v>
      </c>
      <c r="M15" s="3" t="s">
        <v>25</v>
      </c>
      <c r="N15" s="4">
        <v>8.27</v>
      </c>
    </row>
    <row r="16" spans="1:14" ht="28.5" customHeight="1" x14ac:dyDescent="0.2">
      <c r="A16" s="132"/>
      <c r="B16" s="138" t="s">
        <v>69</v>
      </c>
      <c r="C16" s="139"/>
      <c r="D16" s="139"/>
      <c r="E16" s="140"/>
      <c r="F16" s="25">
        <v>23</v>
      </c>
      <c r="G16" s="135"/>
      <c r="H16" s="141">
        <f>TRANSPOSE(Nezamestanosť!E44)</f>
        <v>0</v>
      </c>
      <c r="I16" s="137"/>
      <c r="M16" s="3" t="s">
        <v>26</v>
      </c>
      <c r="N16" s="4">
        <v>6.44</v>
      </c>
    </row>
    <row r="17" spans="1:23" ht="28.5" customHeight="1" x14ac:dyDescent="0.2">
      <c r="A17" s="133"/>
      <c r="B17" s="138" t="s">
        <v>70</v>
      </c>
      <c r="C17" s="139"/>
      <c r="D17" s="139"/>
      <c r="E17" s="140"/>
      <c r="F17" s="26">
        <v>25</v>
      </c>
      <c r="G17" s="136"/>
      <c r="H17" s="142"/>
      <c r="I17" s="137"/>
      <c r="M17" s="3" t="s">
        <v>27</v>
      </c>
      <c r="N17" s="4">
        <v>10.24</v>
      </c>
    </row>
    <row r="18" spans="1:23" ht="49.5" customHeight="1" x14ac:dyDescent="0.2">
      <c r="A18" s="60" t="s">
        <v>92</v>
      </c>
      <c r="B18" s="126" t="s">
        <v>157</v>
      </c>
      <c r="C18" s="127"/>
      <c r="D18" s="127"/>
      <c r="E18" s="128"/>
      <c r="F18" s="27">
        <v>10</v>
      </c>
      <c r="G18" s="56" t="s">
        <v>72</v>
      </c>
      <c r="H18" s="62"/>
      <c r="I18" s="65" t="str">
        <f>TRANSPOSE(Q18)</f>
        <v/>
      </c>
      <c r="M18" s="3" t="s">
        <v>28</v>
      </c>
      <c r="N18" s="4">
        <v>7.92</v>
      </c>
      <c r="P18" s="68">
        <v>0</v>
      </c>
      <c r="Q18" s="68" t="str">
        <f>IF(P18=1,10,IF(P18=2,0,""))</f>
        <v/>
      </c>
      <c r="R18" s="29"/>
      <c r="S18" s="29"/>
      <c r="T18" s="29"/>
      <c r="U18" s="29"/>
      <c r="V18" s="29"/>
      <c r="W18" s="29"/>
    </row>
    <row r="19" spans="1:23" ht="25.5" x14ac:dyDescent="0.2">
      <c r="A19" s="131" t="s">
        <v>93</v>
      </c>
      <c r="B19" s="126" t="s">
        <v>73</v>
      </c>
      <c r="C19" s="127"/>
      <c r="D19" s="127"/>
      <c r="E19" s="128"/>
      <c r="F19" s="27"/>
      <c r="G19" s="134" t="s">
        <v>76</v>
      </c>
      <c r="H19" s="24" t="s">
        <v>106</v>
      </c>
      <c r="I19" s="149" t="str">
        <f>TRANSPOSE(W20)</f>
        <v/>
      </c>
      <c r="M19" s="3" t="s">
        <v>29</v>
      </c>
      <c r="N19" s="4">
        <v>7.74</v>
      </c>
      <c r="P19" s="68" t="s">
        <v>100</v>
      </c>
      <c r="Q19" s="80" t="s">
        <v>156</v>
      </c>
      <c r="R19" s="69" t="s">
        <v>103</v>
      </c>
      <c r="S19" s="69" t="s">
        <v>104</v>
      </c>
      <c r="T19" s="69" t="s">
        <v>105</v>
      </c>
      <c r="U19" s="69"/>
      <c r="V19" s="69"/>
      <c r="W19" s="29"/>
    </row>
    <row r="20" spans="1:23" ht="30.75" customHeight="1" x14ac:dyDescent="0.2">
      <c r="A20" s="132"/>
      <c r="B20" s="152" t="s">
        <v>74</v>
      </c>
      <c r="C20" s="153"/>
      <c r="D20" s="153"/>
      <c r="E20" s="154"/>
      <c r="F20" s="25">
        <v>8</v>
      </c>
      <c r="G20" s="135"/>
      <c r="H20" s="66">
        <f>TRANSPOSE(V21)</f>
        <v>0</v>
      </c>
      <c r="I20" s="150"/>
      <c r="M20" s="3" t="s">
        <v>30</v>
      </c>
      <c r="N20" s="4">
        <v>7.69</v>
      </c>
      <c r="P20" s="68" t="s">
        <v>101</v>
      </c>
      <c r="Q20" s="70">
        <f>TRANSPOSE('štandardný výstup'!G55)</f>
        <v>0</v>
      </c>
      <c r="R20" s="71">
        <f>TRANSPOSE('štandardný výstup'!G53)</f>
        <v>0</v>
      </c>
      <c r="S20" s="71">
        <f>IF(OR(Q20&lt;4000,Q20&gt;50000),0,R20/Q20)</f>
        <v>0</v>
      </c>
      <c r="T20" s="71">
        <f>IFERROR(S20,0)</f>
        <v>0</v>
      </c>
      <c r="U20" s="71">
        <f>IF(T20&gt;=0.6,0.6,T20)</f>
        <v>0</v>
      </c>
      <c r="V20" s="71">
        <f>U20</f>
        <v>0</v>
      </c>
      <c r="W20" s="68" t="str">
        <f>IF('štandardný výstup'!B59="nie je vyplnená tabuľka","",IF(Q20&lt;4000,0,IF(Q20&gt;50000,0,IF(AND(SUM(T20:T21)&gt;0,SUM(T20:T21)&lt;0.6),0,IF(T20&gt;=0.6,6,IF(T21&gt;=0.6,8,IF(AND(T20=0,T21=0),0,SUMPRODUCT(F20:F21,V20:V21)/SUM(V20:V21))))))))</f>
        <v/>
      </c>
    </row>
    <row r="21" spans="1:23" ht="36.75" customHeight="1" x14ac:dyDescent="0.2">
      <c r="A21" s="133"/>
      <c r="B21" s="155" t="s">
        <v>75</v>
      </c>
      <c r="C21" s="156"/>
      <c r="D21" s="156"/>
      <c r="E21" s="157"/>
      <c r="F21" s="26">
        <v>6</v>
      </c>
      <c r="G21" s="136"/>
      <c r="H21" s="66">
        <f>TRANSPOSE(V20)</f>
        <v>0</v>
      </c>
      <c r="I21" s="151"/>
      <c r="M21" s="3" t="s">
        <v>31</v>
      </c>
      <c r="N21" s="4">
        <v>11.39</v>
      </c>
      <c r="P21" s="68" t="s">
        <v>102</v>
      </c>
      <c r="Q21" s="70"/>
      <c r="R21" s="71">
        <f>TRANSPOSE('štandardný výstup'!G54)</f>
        <v>0</v>
      </c>
      <c r="S21" s="71">
        <f>IF(OR(Q20&lt;4000,Q20&gt;50000),0,R21/Q20)</f>
        <v>0</v>
      </c>
      <c r="T21" s="71">
        <f>IFERROR(S21,0)</f>
        <v>0</v>
      </c>
      <c r="U21" s="71">
        <f>IF(T21&gt;=0.6,0.6,T21)</f>
        <v>0</v>
      </c>
      <c r="V21" s="71">
        <f>IF(U20+U21&lt;=0.6,U21,U21-(U20+U21-0.6))</f>
        <v>0</v>
      </c>
      <c r="W21" s="29"/>
    </row>
    <row r="22" spans="1:23" x14ac:dyDescent="0.2">
      <c r="A22" s="131" t="s">
        <v>94</v>
      </c>
      <c r="B22" s="126" t="s">
        <v>77</v>
      </c>
      <c r="C22" s="127"/>
      <c r="D22" s="127"/>
      <c r="E22" s="128"/>
      <c r="F22" s="160">
        <v>5</v>
      </c>
      <c r="G22" s="160"/>
      <c r="H22" s="24" t="s">
        <v>107</v>
      </c>
      <c r="I22" s="165" t="str">
        <f>IF(AND(H23&gt;25000,H23&lt;=50000),5,IF(H23=0,"",0))</f>
        <v/>
      </c>
      <c r="M22" s="3" t="s">
        <v>32</v>
      </c>
      <c r="N22" s="4">
        <v>10.53</v>
      </c>
      <c r="P22" s="29"/>
      <c r="Q22" s="29"/>
      <c r="R22" s="29"/>
      <c r="S22" s="29"/>
      <c r="T22" s="29"/>
      <c r="U22" s="29"/>
      <c r="V22" s="29"/>
      <c r="W22" s="29"/>
    </row>
    <row r="23" spans="1:23" ht="24.75" customHeight="1" x14ac:dyDescent="0.2">
      <c r="A23" s="133"/>
      <c r="B23" s="155"/>
      <c r="C23" s="156"/>
      <c r="D23" s="156"/>
      <c r="E23" s="157"/>
      <c r="F23" s="161"/>
      <c r="G23" s="161"/>
      <c r="H23" s="67">
        <f>TRANSPOSE('štandardný výstup'!G55)</f>
        <v>0</v>
      </c>
      <c r="I23" s="166"/>
      <c r="M23" s="3" t="s">
        <v>33</v>
      </c>
      <c r="N23" s="4">
        <v>12.47</v>
      </c>
      <c r="P23" s="29"/>
      <c r="Q23" s="29"/>
      <c r="R23" s="29"/>
      <c r="S23" s="29"/>
      <c r="T23" s="29"/>
      <c r="U23" s="29"/>
      <c r="V23" s="29"/>
      <c r="W23" s="29"/>
    </row>
    <row r="24" spans="1:23" ht="27" customHeight="1" x14ac:dyDescent="0.2">
      <c r="A24" s="158" t="s">
        <v>95</v>
      </c>
      <c r="B24" s="126" t="s">
        <v>78</v>
      </c>
      <c r="C24" s="127"/>
      <c r="D24" s="127"/>
      <c r="E24" s="128"/>
      <c r="F24" s="87"/>
      <c r="G24" s="146" t="s">
        <v>82</v>
      </c>
      <c r="H24" s="90"/>
      <c r="I24" s="165" t="str">
        <f>TRANSPOSE(Q25)</f>
        <v/>
      </c>
      <c r="M24" s="3" t="s">
        <v>34</v>
      </c>
      <c r="N24" s="4">
        <v>7.15</v>
      </c>
      <c r="P24" s="29"/>
      <c r="Q24" s="29"/>
      <c r="R24" s="29"/>
      <c r="S24" s="29"/>
      <c r="T24" s="29"/>
      <c r="U24" s="29"/>
      <c r="V24" s="29"/>
      <c r="W24" s="29"/>
    </row>
    <row r="25" spans="1:23" ht="27" customHeight="1" x14ac:dyDescent="0.2">
      <c r="A25" s="158"/>
      <c r="B25" s="138" t="s">
        <v>79</v>
      </c>
      <c r="C25" s="139"/>
      <c r="D25" s="139"/>
      <c r="E25" s="140"/>
      <c r="F25" s="25">
        <v>21</v>
      </c>
      <c r="G25" s="147"/>
      <c r="H25" s="32"/>
      <c r="I25" s="167"/>
      <c r="M25" s="3" t="s">
        <v>35</v>
      </c>
      <c r="N25" s="4">
        <v>7.82</v>
      </c>
      <c r="P25" s="28">
        <v>0</v>
      </c>
      <c r="Q25" s="28" t="str">
        <f>IF(P25=1,21,IF(P25=2,18,IF(P25=3,15,"")))</f>
        <v/>
      </c>
      <c r="R25" s="29"/>
      <c r="S25" s="29"/>
      <c r="T25" s="29"/>
      <c r="U25" s="29"/>
      <c r="V25" s="29"/>
      <c r="W25" s="29"/>
    </row>
    <row r="26" spans="1:23" ht="27" customHeight="1" x14ac:dyDescent="0.2">
      <c r="A26" s="158"/>
      <c r="B26" s="138" t="s">
        <v>80</v>
      </c>
      <c r="C26" s="139"/>
      <c r="D26" s="139"/>
      <c r="E26" s="140"/>
      <c r="F26" s="25">
        <v>18</v>
      </c>
      <c r="G26" s="147"/>
      <c r="H26" s="32"/>
      <c r="I26" s="167"/>
      <c r="M26" s="3" t="s">
        <v>36</v>
      </c>
      <c r="N26" s="4">
        <v>15.48</v>
      </c>
      <c r="P26" s="29"/>
      <c r="Q26" s="29"/>
      <c r="R26" s="29"/>
      <c r="S26" s="29"/>
      <c r="T26" s="29"/>
      <c r="U26" s="29"/>
      <c r="V26" s="29"/>
      <c r="W26" s="29"/>
    </row>
    <row r="27" spans="1:23" ht="29.25" customHeight="1" x14ac:dyDescent="0.2">
      <c r="A27" s="158"/>
      <c r="B27" s="155" t="s">
        <v>81</v>
      </c>
      <c r="C27" s="156"/>
      <c r="D27" s="156"/>
      <c r="E27" s="157"/>
      <c r="F27" s="88">
        <v>15</v>
      </c>
      <c r="G27" s="148"/>
      <c r="H27" s="91"/>
      <c r="I27" s="166"/>
      <c r="M27" s="3" t="s">
        <v>37</v>
      </c>
      <c r="N27" s="4">
        <v>12.91</v>
      </c>
      <c r="P27" s="29"/>
      <c r="Q27" s="29"/>
      <c r="R27" s="29"/>
      <c r="S27" s="29"/>
      <c r="T27" s="29"/>
      <c r="U27" s="29"/>
      <c r="V27" s="29"/>
      <c r="W27" s="29"/>
    </row>
    <row r="28" spans="1:23" ht="40.5" customHeight="1" x14ac:dyDescent="0.2">
      <c r="A28" s="162" t="s">
        <v>96</v>
      </c>
      <c r="B28" s="126" t="s">
        <v>83</v>
      </c>
      <c r="C28" s="127"/>
      <c r="D28" s="127"/>
      <c r="E28" s="128"/>
      <c r="F28" s="27"/>
      <c r="G28" s="134" t="s">
        <v>87</v>
      </c>
      <c r="H28" s="24" t="s">
        <v>155</v>
      </c>
      <c r="I28" s="165" t="str">
        <f>IF(H29="","",IF(H29&gt;=2,20,IF(H29=1,18,IF(H29=0,13,""))))</f>
        <v/>
      </c>
      <c r="M28" s="3" t="s">
        <v>38</v>
      </c>
      <c r="N28" s="4">
        <v>8.64</v>
      </c>
      <c r="P28" s="29"/>
      <c r="Q28" s="29"/>
      <c r="R28" s="29"/>
      <c r="S28" s="29"/>
      <c r="T28" s="29"/>
      <c r="U28" s="29"/>
      <c r="V28" s="29"/>
      <c r="W28" s="29"/>
    </row>
    <row r="29" spans="1:23" ht="15" customHeight="1" x14ac:dyDescent="0.2">
      <c r="A29" s="163"/>
      <c r="B29" s="138" t="s">
        <v>84</v>
      </c>
      <c r="C29" s="139"/>
      <c r="D29" s="139"/>
      <c r="E29" s="140"/>
      <c r="F29" s="25">
        <v>20</v>
      </c>
      <c r="G29" s="135"/>
      <c r="H29" s="168"/>
      <c r="I29" s="167"/>
      <c r="M29" s="3" t="s">
        <v>39</v>
      </c>
      <c r="N29" s="4">
        <v>10.85</v>
      </c>
      <c r="P29" s="29"/>
      <c r="Q29" s="29"/>
      <c r="R29" s="29"/>
      <c r="S29" s="29"/>
      <c r="T29" s="29"/>
      <c r="U29" s="29"/>
      <c r="V29" s="29"/>
      <c r="W29" s="29"/>
    </row>
    <row r="30" spans="1:23" ht="15" customHeight="1" x14ac:dyDescent="0.2">
      <c r="A30" s="163"/>
      <c r="B30" s="138" t="s">
        <v>85</v>
      </c>
      <c r="C30" s="139"/>
      <c r="D30" s="139"/>
      <c r="E30" s="140"/>
      <c r="F30" s="25">
        <v>18</v>
      </c>
      <c r="G30" s="135"/>
      <c r="H30" s="169"/>
      <c r="I30" s="167"/>
      <c r="M30" s="3" t="s">
        <v>40</v>
      </c>
      <c r="N30" s="4">
        <v>8.5299999999999994</v>
      </c>
      <c r="P30" s="29"/>
      <c r="Q30" s="29"/>
      <c r="R30" s="29"/>
      <c r="S30" s="29"/>
      <c r="T30" s="29"/>
      <c r="U30" s="29"/>
      <c r="V30" s="29"/>
      <c r="W30" s="29"/>
    </row>
    <row r="31" spans="1:23" ht="15" customHeight="1" x14ac:dyDescent="0.2">
      <c r="A31" s="164"/>
      <c r="B31" s="155" t="s">
        <v>86</v>
      </c>
      <c r="C31" s="156"/>
      <c r="D31" s="156"/>
      <c r="E31" s="157"/>
      <c r="F31" s="26">
        <v>13</v>
      </c>
      <c r="G31" s="136"/>
      <c r="H31" s="170"/>
      <c r="I31" s="166"/>
      <c r="M31" s="3" t="s">
        <v>41</v>
      </c>
      <c r="N31" s="4">
        <v>11.08</v>
      </c>
      <c r="P31" s="29"/>
      <c r="Q31" s="29"/>
      <c r="R31" s="29"/>
      <c r="S31" s="29"/>
      <c r="T31" s="29"/>
      <c r="U31" s="29"/>
      <c r="V31" s="29"/>
      <c r="W31" s="29"/>
    </row>
    <row r="32" spans="1:23" ht="76.5" customHeight="1" x14ac:dyDescent="0.2">
      <c r="A32" s="61" t="s">
        <v>97</v>
      </c>
      <c r="B32" s="159" t="s">
        <v>88</v>
      </c>
      <c r="C32" s="159"/>
      <c r="D32" s="159"/>
      <c r="E32" s="159"/>
      <c r="F32" s="30">
        <v>8</v>
      </c>
      <c r="G32" s="72" t="s">
        <v>110</v>
      </c>
      <c r="H32" s="22"/>
      <c r="I32" s="63" t="str">
        <f>TRANSPOSE(Q32)</f>
        <v/>
      </c>
      <c r="M32" s="3" t="s">
        <v>42</v>
      </c>
      <c r="N32" s="4">
        <v>10.41</v>
      </c>
      <c r="P32" s="28">
        <v>0</v>
      </c>
      <c r="Q32" s="28" t="str">
        <f>IF(AND(P32=1,OR(P34=1,P34=2,P34=0)),8,IF(P32=2,0,""))</f>
        <v/>
      </c>
      <c r="R32" s="29"/>
      <c r="S32" s="29"/>
      <c r="T32" s="29"/>
      <c r="U32" s="29"/>
      <c r="V32" s="29"/>
      <c r="W32" s="29"/>
    </row>
    <row r="33" spans="1:23" ht="72.75" customHeight="1" x14ac:dyDescent="0.2">
      <c r="A33" s="61" t="s">
        <v>98</v>
      </c>
      <c r="B33" s="159" t="s">
        <v>89</v>
      </c>
      <c r="C33" s="159"/>
      <c r="D33" s="159"/>
      <c r="E33" s="159"/>
      <c r="F33" s="30">
        <v>3</v>
      </c>
      <c r="G33" s="20"/>
      <c r="H33" s="22"/>
      <c r="I33" s="59" t="str">
        <f>TRANSPOSE(Q33)</f>
        <v/>
      </c>
      <c r="M33" s="3" t="s">
        <v>43</v>
      </c>
      <c r="N33" s="4">
        <v>14.3</v>
      </c>
      <c r="P33" s="28">
        <v>0</v>
      </c>
      <c r="Q33" s="28" t="str">
        <f>IF(P33=1,3,IF(P33=2,0,""))</f>
        <v/>
      </c>
      <c r="R33" s="29"/>
      <c r="S33" s="29"/>
      <c r="T33" s="29"/>
      <c r="U33" s="29"/>
      <c r="V33" s="29"/>
      <c r="W33" s="29"/>
    </row>
    <row r="34" spans="1:23" ht="56.25" customHeight="1" x14ac:dyDescent="0.2">
      <c r="A34" s="61" t="s">
        <v>99</v>
      </c>
      <c r="B34" s="159" t="s">
        <v>90</v>
      </c>
      <c r="C34" s="159"/>
      <c r="D34" s="159"/>
      <c r="E34" s="159"/>
      <c r="F34" s="30">
        <v>4</v>
      </c>
      <c r="G34" s="72" t="s">
        <v>110</v>
      </c>
      <c r="H34" s="22"/>
      <c r="I34" s="31" t="str">
        <f>TRANSPOSE(Q34)</f>
        <v/>
      </c>
      <c r="M34" s="3" t="s">
        <v>44</v>
      </c>
      <c r="N34" s="4">
        <v>12.37</v>
      </c>
      <c r="P34" s="28">
        <v>0</v>
      </c>
      <c r="Q34" s="28" t="str">
        <f>IF(AND(P34=1,OR(P32=2,P32=0)),4,IF(AND(P34=1,P32=1),0,IF(P34=2,0,"")))</f>
        <v/>
      </c>
      <c r="R34" s="29"/>
      <c r="S34" s="29"/>
      <c r="T34" s="29"/>
      <c r="U34" s="29"/>
      <c r="V34" s="29"/>
      <c r="W34" s="29"/>
    </row>
    <row r="35" spans="1:23" x14ac:dyDescent="0.2">
      <c r="A35" s="143" t="s">
        <v>108</v>
      </c>
      <c r="B35" s="144"/>
      <c r="C35" s="144"/>
      <c r="D35" s="144"/>
      <c r="E35" s="144"/>
      <c r="F35" s="144"/>
      <c r="G35" s="145"/>
      <c r="H35" s="33"/>
      <c r="I35" s="34">
        <f>SUM(I15:I34)</f>
        <v>23</v>
      </c>
      <c r="M35" s="3" t="s">
        <v>45</v>
      </c>
      <c r="N35" s="4">
        <v>12.65</v>
      </c>
    </row>
    <row r="36" spans="1:23" x14ac:dyDescent="0.2">
      <c r="A36" s="35"/>
      <c r="B36" s="35"/>
      <c r="C36" s="35"/>
      <c r="D36" s="35"/>
      <c r="E36" s="35"/>
      <c r="F36" s="35"/>
      <c r="G36" s="35"/>
      <c r="H36" s="36"/>
      <c r="I36" s="37"/>
      <c r="M36" s="3" t="s">
        <v>46</v>
      </c>
      <c r="N36" s="4">
        <v>12.28</v>
      </c>
    </row>
    <row r="37" spans="1:23" x14ac:dyDescent="0.2">
      <c r="A37" s="35"/>
      <c r="B37" s="58" t="s">
        <v>109</v>
      </c>
      <c r="C37" s="58"/>
      <c r="D37" s="58"/>
      <c r="E37" s="58"/>
      <c r="F37" s="58"/>
      <c r="G37" s="35"/>
      <c r="H37" s="36"/>
      <c r="I37" s="37"/>
      <c r="M37" s="3" t="s">
        <v>47</v>
      </c>
      <c r="N37" s="4">
        <v>12.04</v>
      </c>
      <c r="P37" s="64"/>
    </row>
    <row r="38" spans="1:23" x14ac:dyDescent="0.2">
      <c r="A38" s="35"/>
      <c r="B38" s="58"/>
      <c r="C38" s="58"/>
      <c r="D38" s="58"/>
      <c r="E38" s="58"/>
      <c r="F38" s="58"/>
      <c r="G38" s="35"/>
      <c r="H38" s="36"/>
      <c r="I38" s="37"/>
      <c r="M38" s="3" t="s">
        <v>48</v>
      </c>
      <c r="N38" s="4">
        <v>8.34</v>
      </c>
    </row>
    <row r="39" spans="1:23" x14ac:dyDescent="0.2">
      <c r="A39" s="35"/>
      <c r="B39" s="172" t="str">
        <f>IF(H16=0,"nie je vyplnený hárok nezamestnanosť","")</f>
        <v>nie je vyplnený hárok nezamestnanosť</v>
      </c>
      <c r="C39" s="172"/>
      <c r="D39" s="172"/>
      <c r="E39" s="172"/>
      <c r="F39" s="172"/>
      <c r="G39" s="35"/>
      <c r="H39" s="36"/>
      <c r="I39" s="37"/>
      <c r="M39" s="3" t="s">
        <v>49</v>
      </c>
      <c r="N39" s="4">
        <v>12.53</v>
      </c>
    </row>
    <row r="40" spans="1:23" x14ac:dyDescent="0.2">
      <c r="A40" s="35"/>
      <c r="B40" s="172" t="str">
        <f>IF(I18="","označte jednu možnosť v bodovacom kritériu č. 2","")</f>
        <v>označte jednu možnosť v bodovacom kritériu č. 2</v>
      </c>
      <c r="C40" s="172"/>
      <c r="D40" s="172"/>
      <c r="E40" s="172"/>
      <c r="F40" s="172"/>
      <c r="G40" s="35"/>
      <c r="H40" s="36"/>
      <c r="I40" s="37"/>
      <c r="M40" s="3" t="s">
        <v>50</v>
      </c>
      <c r="N40" s="4">
        <v>11.87</v>
      </c>
    </row>
    <row r="41" spans="1:23" x14ac:dyDescent="0.2">
      <c r="A41" s="35"/>
      <c r="B41" s="172" t="str">
        <f>IF('štandardný výstup'!G55=0,"vyplnte hárok štandardný výstup","")</f>
        <v>vyplnte hárok štandardný výstup</v>
      </c>
      <c r="C41" s="172"/>
      <c r="D41" s="172"/>
      <c r="E41" s="172"/>
      <c r="F41" s="172"/>
      <c r="G41" s="35"/>
      <c r="H41" s="36"/>
      <c r="I41" s="37"/>
      <c r="M41" s="3" t="s">
        <v>51</v>
      </c>
      <c r="N41" s="4">
        <v>12.6</v>
      </c>
    </row>
    <row r="42" spans="1:23" x14ac:dyDescent="0.2">
      <c r="A42" s="35"/>
      <c r="B42" s="172" t="str">
        <f>IF(I24="","označte jednu možnosť v bodovacom kritériu č. 5","")</f>
        <v>označte jednu možnosť v bodovacom kritériu č. 5</v>
      </c>
      <c r="C42" s="172"/>
      <c r="D42" s="172"/>
      <c r="E42" s="172"/>
      <c r="F42" s="172"/>
      <c r="G42" s="35"/>
      <c r="H42" s="36"/>
      <c r="I42" s="37"/>
      <c r="M42" s="3" t="s">
        <v>52</v>
      </c>
      <c r="N42" s="4">
        <v>11.18</v>
      </c>
    </row>
    <row r="43" spans="1:23" x14ac:dyDescent="0.2">
      <c r="A43" s="35"/>
      <c r="B43" s="172" t="str">
        <f>IF(H29="","zadajte počet zamestnaných v bodovacom kritériu č. 6 - aj nulové hodnoty","")</f>
        <v>zadajte počet zamestnaných v bodovacom kritériu č. 6 - aj nulové hodnoty</v>
      </c>
      <c r="C43" s="172"/>
      <c r="D43" s="172"/>
      <c r="E43" s="172"/>
      <c r="F43" s="172"/>
      <c r="G43" s="35"/>
      <c r="H43" s="36"/>
      <c r="I43" s="37"/>
      <c r="M43" s="3" t="s">
        <v>53</v>
      </c>
      <c r="N43" s="4">
        <v>8.5399999999999991</v>
      </c>
    </row>
    <row r="44" spans="1:23" x14ac:dyDescent="0.2">
      <c r="A44" s="35"/>
      <c r="B44" s="172" t="str">
        <f>IF(I32="","označte jednu možnosť v bodovacom kritériu č. 7","")</f>
        <v>označte jednu možnosť v bodovacom kritériu č. 7</v>
      </c>
      <c r="C44" s="172"/>
      <c r="D44" s="172"/>
      <c r="E44" s="172"/>
      <c r="F44" s="172"/>
      <c r="G44" s="35"/>
      <c r="H44" s="36"/>
      <c r="I44" s="37"/>
      <c r="M44" s="3" t="s">
        <v>54</v>
      </c>
      <c r="N44" s="4">
        <v>8.9</v>
      </c>
    </row>
    <row r="45" spans="1:23" x14ac:dyDescent="0.2">
      <c r="A45" s="35"/>
      <c r="B45" s="172" t="str">
        <f>IF(I33="","označte jednu možnosť v bodovacom kritériu č. 8","")</f>
        <v>označte jednu možnosť v bodovacom kritériu č. 8</v>
      </c>
      <c r="C45" s="172"/>
      <c r="D45" s="172"/>
      <c r="E45" s="172"/>
      <c r="F45" s="172"/>
      <c r="G45" s="35"/>
      <c r="H45" s="36"/>
      <c r="I45" s="37"/>
      <c r="M45" s="3" t="s">
        <v>55</v>
      </c>
      <c r="N45" s="4">
        <v>17.510000000000002</v>
      </c>
    </row>
    <row r="46" spans="1:23" x14ac:dyDescent="0.2">
      <c r="A46" s="35"/>
      <c r="B46" s="172" t="str">
        <f>IF(I34="","označte jednu možnosť v bodovacom kritériu č. 9","")</f>
        <v>označte jednu možnosť v bodovacom kritériu č. 9</v>
      </c>
      <c r="C46" s="172"/>
      <c r="D46" s="172"/>
      <c r="E46" s="172"/>
      <c r="F46" s="172"/>
      <c r="G46" s="35"/>
      <c r="H46" s="36"/>
      <c r="I46" s="37"/>
      <c r="M46" s="3" t="s">
        <v>56</v>
      </c>
      <c r="N46" s="4">
        <v>13.41</v>
      </c>
    </row>
    <row r="47" spans="1:23" x14ac:dyDescent="0.2">
      <c r="A47" s="35"/>
      <c r="B47" s="171" t="str">
        <f>IF('štandardný výstup'!B59="nedosiahnutie štandardného výstupu - nesplnenie podmienok",TRANSPOSE('štandardný výstup'!B59),IF('štandardný výstup'!B59="prekročenie štandardného výstupu - nesplnenie podmienok",TRANSPOSE('štandardný výstup'!B59),""))</f>
        <v/>
      </c>
      <c r="C47" s="171"/>
      <c r="D47" s="171"/>
      <c r="E47" s="171"/>
      <c r="F47" s="171"/>
      <c r="G47" s="35"/>
      <c r="H47" s="36"/>
      <c r="I47" s="37"/>
      <c r="M47" s="3" t="s">
        <v>57</v>
      </c>
      <c r="N47" s="4">
        <v>14.57</v>
      </c>
    </row>
    <row r="48" spans="1:23" x14ac:dyDescent="0.2">
      <c r="A48" s="35"/>
      <c r="B48" s="35"/>
      <c r="C48" s="35"/>
      <c r="D48" s="35"/>
      <c r="E48" s="35"/>
      <c r="F48" s="35"/>
      <c r="G48" s="35"/>
      <c r="H48" s="36"/>
      <c r="I48" s="37"/>
      <c r="M48" s="3" t="s">
        <v>58</v>
      </c>
      <c r="N48" s="4">
        <v>16.95</v>
      </c>
    </row>
    <row r="49" spans="1:14" x14ac:dyDescent="0.2">
      <c r="A49" s="35"/>
      <c r="B49" s="35"/>
      <c r="C49" s="35"/>
      <c r="D49" s="35"/>
      <c r="E49" s="35"/>
      <c r="F49" s="35"/>
      <c r="G49" s="35"/>
      <c r="H49" s="36"/>
      <c r="I49" s="37"/>
      <c r="J49" s="38"/>
      <c r="K49" s="38"/>
      <c r="L49" s="38"/>
      <c r="M49" s="3" t="s">
        <v>59</v>
      </c>
      <c r="N49" s="4">
        <v>20.079999999999998</v>
      </c>
    </row>
    <row r="50" spans="1:14" x14ac:dyDescent="0.2">
      <c r="A50" s="35"/>
      <c r="B50" s="35"/>
      <c r="C50" s="35"/>
      <c r="D50" s="35"/>
      <c r="E50" s="35"/>
      <c r="F50" s="35"/>
      <c r="G50" s="35"/>
      <c r="H50" s="36"/>
      <c r="I50" s="37"/>
      <c r="J50" s="57"/>
      <c r="K50" s="57"/>
      <c r="L50" s="57"/>
      <c r="M50" s="3" t="s">
        <v>60</v>
      </c>
      <c r="N50" s="4">
        <v>23.57</v>
      </c>
    </row>
    <row r="51" spans="1:14" x14ac:dyDescent="0.2">
      <c r="A51" s="35"/>
      <c r="B51" s="35"/>
      <c r="C51" s="35"/>
      <c r="D51" s="35"/>
      <c r="E51" s="35"/>
      <c r="F51" s="35"/>
      <c r="G51" s="35"/>
      <c r="H51" s="36"/>
      <c r="I51" s="37"/>
      <c r="M51" s="3" t="s">
        <v>61</v>
      </c>
      <c r="N51" s="4">
        <v>26.82</v>
      </c>
    </row>
    <row r="52" spans="1:14" x14ac:dyDescent="0.2">
      <c r="A52" s="35"/>
      <c r="B52" s="35"/>
      <c r="C52" s="35"/>
      <c r="D52" s="35"/>
      <c r="E52" s="35"/>
      <c r="F52" s="35"/>
      <c r="G52" s="35"/>
      <c r="H52" s="36"/>
      <c r="I52" s="37"/>
      <c r="M52" s="3" t="s">
        <v>62</v>
      </c>
      <c r="N52" s="4">
        <v>29.84</v>
      </c>
    </row>
    <row r="53" spans="1:14" x14ac:dyDescent="0.2">
      <c r="M53" s="3" t="s">
        <v>174</v>
      </c>
      <c r="N53" s="4">
        <v>22.17</v>
      </c>
    </row>
    <row r="54" spans="1:14" x14ac:dyDescent="0.2">
      <c r="M54" s="3" t="s">
        <v>175</v>
      </c>
      <c r="N54" s="4">
        <v>10.55</v>
      </c>
    </row>
    <row r="55" spans="1:14" x14ac:dyDescent="0.2">
      <c r="M55" s="3" t="s">
        <v>176</v>
      </c>
      <c r="N55" s="4">
        <v>16.46</v>
      </c>
    </row>
    <row r="56" spans="1:14" x14ac:dyDescent="0.2">
      <c r="M56" s="3" t="s">
        <v>177</v>
      </c>
      <c r="N56" s="4">
        <v>13.34</v>
      </c>
    </row>
    <row r="57" spans="1:14" x14ac:dyDescent="0.2">
      <c r="M57" s="3" t="s">
        <v>178</v>
      </c>
      <c r="N57" s="4">
        <v>19.600000000000001</v>
      </c>
    </row>
    <row r="58" spans="1:14" x14ac:dyDescent="0.2">
      <c r="M58" s="3" t="s">
        <v>179</v>
      </c>
      <c r="N58" s="4">
        <v>16.489999999999998</v>
      </c>
    </row>
    <row r="59" spans="1:14" x14ac:dyDescent="0.2">
      <c r="M59" s="3" t="s">
        <v>180</v>
      </c>
      <c r="N59" s="4">
        <v>25.59</v>
      </c>
    </row>
    <row r="60" spans="1:14" x14ac:dyDescent="0.2">
      <c r="M60" s="3" t="s">
        <v>181</v>
      </c>
      <c r="N60" s="4">
        <v>16.440000000000001</v>
      </c>
    </row>
    <row r="61" spans="1:14" x14ac:dyDescent="0.2">
      <c r="M61" s="3" t="s">
        <v>182</v>
      </c>
      <c r="N61" s="4">
        <v>19.95</v>
      </c>
    </row>
    <row r="62" spans="1:14" x14ac:dyDescent="0.2">
      <c r="M62" s="3" t="s">
        <v>183</v>
      </c>
      <c r="N62" s="4">
        <v>11.01</v>
      </c>
    </row>
    <row r="63" spans="1:14" x14ac:dyDescent="0.2">
      <c r="M63" s="3" t="s">
        <v>184</v>
      </c>
      <c r="N63" s="4">
        <v>14.84</v>
      </c>
    </row>
    <row r="64" spans="1:14" x14ac:dyDescent="0.2">
      <c r="M64" s="3" t="s">
        <v>185</v>
      </c>
      <c r="N64" s="4">
        <v>21.86</v>
      </c>
    </row>
    <row r="65" spans="13:14" x14ac:dyDescent="0.2">
      <c r="M65" s="3" t="s">
        <v>186</v>
      </c>
      <c r="N65" s="4">
        <v>19.059999999999999</v>
      </c>
    </row>
    <row r="66" spans="13:14" x14ac:dyDescent="0.2">
      <c r="M66" s="3" t="s">
        <v>187</v>
      </c>
      <c r="N66" s="4">
        <v>13.1</v>
      </c>
    </row>
    <row r="67" spans="13:14" x14ac:dyDescent="0.2">
      <c r="M67" s="3" t="s">
        <v>188</v>
      </c>
      <c r="N67" s="4">
        <v>17.399999999999999</v>
      </c>
    </row>
    <row r="68" spans="13:14" x14ac:dyDescent="0.2">
      <c r="M68" s="3" t="s">
        <v>189</v>
      </c>
      <c r="N68" s="4">
        <v>20.05</v>
      </c>
    </row>
    <row r="69" spans="13:14" x14ac:dyDescent="0.2">
      <c r="M69" s="3" t="s">
        <v>190</v>
      </c>
      <c r="N69" s="4">
        <v>21.25</v>
      </c>
    </row>
    <row r="70" spans="13:14" x14ac:dyDescent="0.2">
      <c r="M70" s="3" t="s">
        <v>191</v>
      </c>
      <c r="N70" s="4">
        <v>17.91</v>
      </c>
    </row>
    <row r="71" spans="13:14" x14ac:dyDescent="0.2">
      <c r="M71" s="3" t="s">
        <v>192</v>
      </c>
      <c r="N71" s="4">
        <v>9.81</v>
      </c>
    </row>
    <row r="72" spans="13:14" x14ac:dyDescent="0.2">
      <c r="M72" s="3" t="s">
        <v>193</v>
      </c>
      <c r="N72" s="4">
        <v>9.39</v>
      </c>
    </row>
    <row r="73" spans="13:14" x14ac:dyDescent="0.2">
      <c r="M73" s="3" t="s">
        <v>194</v>
      </c>
      <c r="N73" s="4">
        <v>8.56</v>
      </c>
    </row>
    <row r="74" spans="13:14" x14ac:dyDescent="0.2">
      <c r="M74" s="3" t="s">
        <v>195</v>
      </c>
      <c r="N74" s="4">
        <v>9.3699999999999992</v>
      </c>
    </row>
    <row r="75" spans="13:14" x14ac:dyDescent="0.2">
      <c r="M75" s="3" t="s">
        <v>196</v>
      </c>
      <c r="N75" s="4">
        <v>19.2</v>
      </c>
    </row>
    <row r="76" spans="13:14" x14ac:dyDescent="0.2">
      <c r="M76" s="3" t="s">
        <v>197</v>
      </c>
      <c r="N76" s="4">
        <v>16.78</v>
      </c>
    </row>
    <row r="77" spans="13:14" x14ac:dyDescent="0.2">
      <c r="M77" s="3" t="s">
        <v>198</v>
      </c>
      <c r="N77" s="4">
        <v>24.27</v>
      </c>
    </row>
    <row r="78" spans="13:14" x14ac:dyDescent="0.2">
      <c r="M78" s="3" t="s">
        <v>199</v>
      </c>
      <c r="N78" s="4">
        <v>20.91</v>
      </c>
    </row>
    <row r="79" spans="13:14" x14ac:dyDescent="0.2">
      <c r="M79" s="3" t="s">
        <v>200</v>
      </c>
      <c r="N79" s="4">
        <v>15.12</v>
      </c>
    </row>
    <row r="80" spans="13:14" x14ac:dyDescent="0.2">
      <c r="M80" s="3" t="s">
        <v>201</v>
      </c>
      <c r="N80" s="4">
        <v>20.010000000000002</v>
      </c>
    </row>
  </sheetData>
  <sheetProtection algorithmName="SHA-512" hashValue="WiJw3ABldFrlklSd7Ec/tWMs9t2VpFkRif17gNVF9Aq7iI1cnA74XzB9/1050wEWF3rJ83St9Yt+2ZQ5OFIFNQ==" saltValue="7MXU3XiAVpqqwEqURv5HNQ==" spinCount="100000" sheet="1" objects="1" scenarios="1"/>
  <mergeCells count="49">
    <mergeCell ref="B47:F47"/>
    <mergeCell ref="B44:F44"/>
    <mergeCell ref="B45:F45"/>
    <mergeCell ref="B46:F46"/>
    <mergeCell ref="B39:F39"/>
    <mergeCell ref="B40:F40"/>
    <mergeCell ref="B41:F41"/>
    <mergeCell ref="B42:F42"/>
    <mergeCell ref="B43:F43"/>
    <mergeCell ref="G22:G23"/>
    <mergeCell ref="I22:I23"/>
    <mergeCell ref="I24:I27"/>
    <mergeCell ref="H29:H31"/>
    <mergeCell ref="I28:I31"/>
    <mergeCell ref="G28:G31"/>
    <mergeCell ref="B22:E23"/>
    <mergeCell ref="F22:F23"/>
    <mergeCell ref="B31:E31"/>
    <mergeCell ref="B32:E32"/>
    <mergeCell ref="A28:A31"/>
    <mergeCell ref="B28:E28"/>
    <mergeCell ref="B29:E29"/>
    <mergeCell ref="B30:E30"/>
    <mergeCell ref="A35:G35"/>
    <mergeCell ref="G24:G27"/>
    <mergeCell ref="A19:A21"/>
    <mergeCell ref="B19:E19"/>
    <mergeCell ref="I19:I21"/>
    <mergeCell ref="B20:E20"/>
    <mergeCell ref="B21:E21"/>
    <mergeCell ref="G19:G21"/>
    <mergeCell ref="A24:A27"/>
    <mergeCell ref="B25:E25"/>
    <mergeCell ref="B26:E26"/>
    <mergeCell ref="B27:E27"/>
    <mergeCell ref="B24:E24"/>
    <mergeCell ref="B33:E33"/>
    <mergeCell ref="B34:E34"/>
    <mergeCell ref="A22:A23"/>
    <mergeCell ref="B18:E18"/>
    <mergeCell ref="C5:I5"/>
    <mergeCell ref="B14:E14"/>
    <mergeCell ref="A15:A17"/>
    <mergeCell ref="B15:E15"/>
    <mergeCell ref="G15:G17"/>
    <mergeCell ref="I15:I17"/>
    <mergeCell ref="B16:E16"/>
    <mergeCell ref="H16:H17"/>
    <mergeCell ref="B17:E17"/>
  </mergeCells>
  <conditionalFormatting sqref="B37">
    <cfRule type="cellIs" dxfId="35" priority="19" operator="equal">
      <formula>"nie sú zadané oprávnené výdavky"</formula>
    </cfRule>
  </conditionalFormatting>
  <conditionalFormatting sqref="B38">
    <cfRule type="cellIs" dxfId="34" priority="18" operator="equal">
      <formula>"nie je zadaný počet pripojiteľných domácností"</formula>
    </cfRule>
  </conditionalFormatting>
  <conditionalFormatting sqref="B39">
    <cfRule type="cellIs" dxfId="33" priority="10" operator="equal">
      <formula>"nie je vyplnený hárok nezamestnanosť"</formula>
    </cfRule>
    <cfRule type="cellIs" dxfId="32" priority="17" operator="equal">
      <formula>"nie je zadaný celkový počet domácností"</formula>
    </cfRule>
  </conditionalFormatting>
  <conditionalFormatting sqref="B40">
    <cfRule type="cellIs" dxfId="31" priority="9" operator="equal">
      <formula>"označte jednu možnosť v bodovacom kritériu č. 2"</formula>
    </cfRule>
    <cfRule type="cellIs" dxfId="30" priority="16" operator="equal">
      <formula>"nie je zadaný počet obyvateľov"</formula>
    </cfRule>
  </conditionalFormatting>
  <conditionalFormatting sqref="B41">
    <cfRule type="cellIs" dxfId="29" priority="8" operator="equal">
      <formula>"vyplnte hárok štandardný výstup"</formula>
    </cfRule>
    <cfRule type="cellIs" dxfId="28" priority="15" operator="equal">
      <formula>"nie je vyplnená nezamestnanosť"</formula>
    </cfRule>
  </conditionalFormatting>
  <conditionalFormatting sqref="B42">
    <cfRule type="cellIs" dxfId="27" priority="7" operator="equal">
      <formula>"označte jednu možnosť v bodovacom kritériu č. 5"</formula>
    </cfRule>
    <cfRule type="cellIs" dxfId="26" priority="14" operator="equal">
      <formula>"označte jednu možnosť v bodovacom kritériu č. 4"</formula>
    </cfRule>
  </conditionalFormatting>
  <conditionalFormatting sqref="B43">
    <cfRule type="cellIs" dxfId="25" priority="6" operator="equal">
      <formula>"zadajte počet zamestnaných v bodovacom kritériu č. 6 - aj nulové hodnoty"</formula>
    </cfRule>
    <cfRule type="cellIs" dxfId="24" priority="13" operator="equal">
      <formula>"označte jednu možnosť v bodovacom kritériu č. 5"</formula>
    </cfRule>
  </conditionalFormatting>
  <conditionalFormatting sqref="B44">
    <cfRule type="cellIs" dxfId="23" priority="5" operator="equal">
      <formula>"označte jednu možnosť v bodovacom kritériu č. 7"</formula>
    </cfRule>
    <cfRule type="cellIs" dxfId="22" priority="12" operator="equal">
      <formula>"označte jednu možnosť v bodovacom kritériu č. 5"</formula>
    </cfRule>
  </conditionalFormatting>
  <conditionalFormatting sqref="B45:B46">
    <cfRule type="cellIs" dxfId="21" priority="11" operator="equal">
      <formula>"označte jednu možnosť v bodovacom kritériu č. 5"</formula>
    </cfRule>
  </conditionalFormatting>
  <conditionalFormatting sqref="B45">
    <cfRule type="cellIs" dxfId="20" priority="4" operator="equal">
      <formula>"označte jednu možnosť v bodovacom kritériu č. 8"</formula>
    </cfRule>
  </conditionalFormatting>
  <conditionalFormatting sqref="B46">
    <cfRule type="cellIs" dxfId="19" priority="3" operator="equal">
      <formula>"označte jednu možnosť v bodovacom kritériu č. 9"</formula>
    </cfRule>
  </conditionalFormatting>
  <conditionalFormatting sqref="B47:F47">
    <cfRule type="cellIs" dxfId="18" priority="1" operator="equal">
      <formula>"prekročenie štandardného výstupu - nesplnenie podmienok"</formula>
    </cfRule>
    <cfRule type="cellIs" dxfId="17" priority="2" operator="equal">
      <formula>"nedosiahnutie štandardného výstupu - nesplnenie podmienok"</formula>
    </cfRule>
  </conditionalFormatting>
  <dataValidations count="2">
    <dataValidation type="whole" allowBlank="1" showInputMessage="1" showErrorMessage="1" prompt="zadajte celé číslo" sqref="H29:H31">
      <formula1>0</formula1>
      <formula2>9999</formula2>
    </dataValidation>
    <dataValidation allowBlank="1" showInputMessage="1" showErrorMessage="1" prompt="vyplnenie sa prejaví na všetkých hárkoch" sqref="C6 C5:I5"/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371475</xdr:colOff>
                    <xdr:row>17</xdr:row>
                    <xdr:rowOff>95250</xdr:rowOff>
                  </from>
                  <to>
                    <xdr:col>7</xdr:col>
                    <xdr:colOff>1095375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371475</xdr:colOff>
                    <xdr:row>17</xdr:row>
                    <xdr:rowOff>352425</xdr:rowOff>
                  </from>
                  <to>
                    <xdr:col>7</xdr:col>
                    <xdr:colOff>1095375</xdr:colOff>
                    <xdr:row>17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Group Box 7">
              <controlPr defaultSize="0" autoFill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7</xdr:col>
                    <xdr:colOff>400050</xdr:colOff>
                    <xdr:row>24</xdr:row>
                    <xdr:rowOff>95250</xdr:rowOff>
                  </from>
                  <to>
                    <xdr:col>7</xdr:col>
                    <xdr:colOff>1123950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7</xdr:col>
                    <xdr:colOff>400050</xdr:colOff>
                    <xdr:row>25</xdr:row>
                    <xdr:rowOff>95250</xdr:rowOff>
                  </from>
                  <to>
                    <xdr:col>7</xdr:col>
                    <xdr:colOff>1123950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7</xdr:col>
                    <xdr:colOff>400050</xdr:colOff>
                    <xdr:row>26</xdr:row>
                    <xdr:rowOff>95250</xdr:rowOff>
                  </from>
                  <to>
                    <xdr:col>7</xdr:col>
                    <xdr:colOff>1123950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Group Box 16">
              <controlPr defaultSize="0" autoFill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Option Button 17">
              <controlPr defaultSize="0" autoFill="0" autoLine="0" autoPict="0">
                <anchor moveWithCells="1">
                  <from>
                    <xdr:col>7</xdr:col>
                    <xdr:colOff>409575</xdr:colOff>
                    <xdr:row>32</xdr:row>
                    <xdr:rowOff>247650</xdr:rowOff>
                  </from>
                  <to>
                    <xdr:col>7</xdr:col>
                    <xdr:colOff>1133475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Option Button 18">
              <controlPr defaultSize="0" autoFill="0" autoLine="0" autoPict="0">
                <anchor moveWithCells="1">
                  <from>
                    <xdr:col>7</xdr:col>
                    <xdr:colOff>409575</xdr:colOff>
                    <xdr:row>32</xdr:row>
                    <xdr:rowOff>523875</xdr:rowOff>
                  </from>
                  <to>
                    <xdr:col>7</xdr:col>
                    <xdr:colOff>1133475</xdr:colOff>
                    <xdr:row>32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Group Box 19">
              <controlPr defaultSize="0" autoFill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Group Box 22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Option Button 25">
              <controlPr defaultSize="0" autoFill="0" autoLine="0" autoPict="0">
                <anchor moveWithCells="1">
                  <from>
                    <xdr:col>7</xdr:col>
                    <xdr:colOff>428625</xdr:colOff>
                    <xdr:row>31</xdr:row>
                    <xdr:rowOff>247650</xdr:rowOff>
                  </from>
                  <to>
                    <xdr:col>7</xdr:col>
                    <xdr:colOff>1152525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Option Button 26">
              <controlPr defaultSize="0" autoFill="0" autoLine="0" autoPict="0">
                <anchor moveWithCells="1">
                  <from>
                    <xdr:col>7</xdr:col>
                    <xdr:colOff>428625</xdr:colOff>
                    <xdr:row>31</xdr:row>
                    <xdr:rowOff>533400</xdr:rowOff>
                  </from>
                  <to>
                    <xdr:col>7</xdr:col>
                    <xdr:colOff>1152525</xdr:colOff>
                    <xdr:row>31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Option Button 27">
              <controlPr defaultSize="0" autoFill="0" autoLine="0" autoPict="0">
                <anchor moveWithCells="1">
                  <from>
                    <xdr:col>7</xdr:col>
                    <xdr:colOff>400050</xdr:colOff>
                    <xdr:row>33</xdr:row>
                    <xdr:rowOff>123825</xdr:rowOff>
                  </from>
                  <to>
                    <xdr:col>7</xdr:col>
                    <xdr:colOff>1123950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Option Button 28">
              <controlPr defaultSize="0" autoFill="0" autoLine="0" autoPict="0">
                <anchor moveWithCells="1">
                  <from>
                    <xdr:col>7</xdr:col>
                    <xdr:colOff>400050</xdr:colOff>
                    <xdr:row>33</xdr:row>
                    <xdr:rowOff>400050</xdr:rowOff>
                  </from>
                  <to>
                    <xdr:col>7</xdr:col>
                    <xdr:colOff>1123950</xdr:colOff>
                    <xdr:row>33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I44"/>
  <sheetViews>
    <sheetView workbookViewId="0">
      <selection activeCell="B11" sqref="B11"/>
    </sheetView>
  </sheetViews>
  <sheetFormatPr defaultRowHeight="15" x14ac:dyDescent="0.25"/>
  <cols>
    <col min="1" max="1" width="10" style="40" customWidth="1"/>
    <col min="2" max="2" width="31.5703125" style="40" customWidth="1"/>
    <col min="3" max="3" width="9.140625" style="40" hidden="1" customWidth="1"/>
    <col min="4" max="4" width="12.5703125" style="40" hidden="1" customWidth="1"/>
    <col min="5" max="5" width="12.5703125" style="40" bestFit="1" customWidth="1"/>
    <col min="6" max="6" width="14.7109375" style="40" hidden="1" customWidth="1"/>
    <col min="7" max="7" width="5.28515625" style="40" hidden="1" customWidth="1"/>
    <col min="8" max="8" width="23.28515625" style="40" customWidth="1"/>
    <col min="9" max="9" width="22.28515625" style="40" customWidth="1"/>
    <col min="10" max="16384" width="9.140625" style="40"/>
  </cols>
  <sheetData>
    <row r="1" spans="1:9" x14ac:dyDescent="0.25">
      <c r="A1" s="39" t="s">
        <v>161</v>
      </c>
    </row>
    <row r="2" spans="1:9" x14ac:dyDescent="0.25">
      <c r="A2" s="41" t="s">
        <v>2</v>
      </c>
    </row>
    <row r="4" spans="1:9" x14ac:dyDescent="0.25">
      <c r="A4" s="92" t="s">
        <v>0</v>
      </c>
      <c r="B4" s="173" t="str">
        <f>IF('6.1'!C5="","",'6.1'!C5)</f>
        <v/>
      </c>
      <c r="C4" s="173"/>
      <c r="D4" s="173"/>
      <c r="E4" s="173"/>
      <c r="F4" s="173"/>
      <c r="G4" s="173"/>
      <c r="H4" s="173"/>
      <c r="I4" s="173"/>
    </row>
    <row r="5" spans="1:9" x14ac:dyDescent="0.25">
      <c r="A5" s="92" t="s">
        <v>1</v>
      </c>
      <c r="B5" s="124" t="str">
        <f>IF('6.1'!C6="","",'6.1'!C6)</f>
        <v/>
      </c>
      <c r="C5" s="93"/>
      <c r="D5" s="93"/>
      <c r="E5" s="94"/>
      <c r="F5" s="94"/>
      <c r="G5" s="94"/>
      <c r="H5" s="94"/>
      <c r="I5" s="94"/>
    </row>
    <row r="8" spans="1:9" x14ac:dyDescent="0.25">
      <c r="A8" s="42" t="s">
        <v>3</v>
      </c>
    </row>
    <row r="9" spans="1:9" x14ac:dyDescent="0.25">
      <c r="C9" s="43" t="s">
        <v>4</v>
      </c>
      <c r="D9" s="43" t="s">
        <v>4</v>
      </c>
      <c r="F9" s="43" t="s">
        <v>4</v>
      </c>
      <c r="G9" s="43" t="s">
        <v>4</v>
      </c>
    </row>
    <row r="10" spans="1:9" x14ac:dyDescent="0.25">
      <c r="A10" s="44" t="s">
        <v>5</v>
      </c>
      <c r="B10" s="44" t="s">
        <v>6</v>
      </c>
      <c r="C10" s="44" t="s">
        <v>7</v>
      </c>
      <c r="D10" s="44" t="s">
        <v>8</v>
      </c>
      <c r="E10" s="44" t="s">
        <v>8</v>
      </c>
      <c r="F10" s="45"/>
      <c r="G10" s="45"/>
      <c r="H10" s="44" t="s">
        <v>9</v>
      </c>
      <c r="I10" s="44" t="s">
        <v>10</v>
      </c>
    </row>
    <row r="11" spans="1:9" x14ac:dyDescent="0.25">
      <c r="A11" s="46">
        <v>1</v>
      </c>
      <c r="B11" s="47"/>
      <c r="C11" s="48"/>
      <c r="D11" s="45" t="e">
        <f>VLOOKUP(B11,'6.1'!$M$2:$N$80,2,0)</f>
        <v>#N/A</v>
      </c>
      <c r="E11" s="49">
        <f>IFERROR(D11,0)</f>
        <v>0</v>
      </c>
      <c r="F11" s="49" t="str">
        <f>IF(E11&gt;0,1,"")</f>
        <v/>
      </c>
      <c r="G11" s="49">
        <f>COUNTIF($B$11:$B$40,B11)</f>
        <v>0</v>
      </c>
      <c r="H11" s="50" t="str">
        <f>IF(G11&gt;1,"okres je zadaný viackrát","")</f>
        <v/>
      </c>
      <c r="I11" s="50" t="str">
        <f>IF(B11="","nezadané miesto realizácie"," ")</f>
        <v>nezadané miesto realizácie</v>
      </c>
    </row>
    <row r="12" spans="1:9" x14ac:dyDescent="0.25">
      <c r="A12" s="46">
        <v>2</v>
      </c>
      <c r="B12" s="47"/>
      <c r="C12" s="48"/>
      <c r="D12" s="45" t="e">
        <f>VLOOKUP(B12,'6.1'!$M$2:$N$80,2,0)</f>
        <v>#N/A</v>
      </c>
      <c r="E12" s="49">
        <f t="shared" ref="E12:E40" si="0">IFERROR(D12,0)</f>
        <v>0</v>
      </c>
      <c r="F12" s="49" t="str">
        <f t="shared" ref="F12:F40" si="1">IF(E12&gt;0,1," ")</f>
        <v xml:space="preserve"> </v>
      </c>
      <c r="G12" s="49">
        <f t="shared" ref="G12:G40" si="2">COUNTIF($B$11:$B$40,B12)</f>
        <v>0</v>
      </c>
      <c r="H12" s="50" t="str">
        <f t="shared" ref="H12:H40" si="3">IF(G12&gt;1,"okres je zadaný viackrát","")</f>
        <v/>
      </c>
      <c r="I12" s="50"/>
    </row>
    <row r="13" spans="1:9" x14ac:dyDescent="0.25">
      <c r="A13" s="46">
        <v>3</v>
      </c>
      <c r="B13" s="47"/>
      <c r="C13" s="48"/>
      <c r="D13" s="45" t="e">
        <f>VLOOKUP(B13,'6.1'!$M$2:$N$80,2,0)</f>
        <v>#N/A</v>
      </c>
      <c r="E13" s="49">
        <f t="shared" si="0"/>
        <v>0</v>
      </c>
      <c r="F13" s="49" t="str">
        <f t="shared" si="1"/>
        <v xml:space="preserve"> </v>
      </c>
      <c r="G13" s="49">
        <f t="shared" si="2"/>
        <v>0</v>
      </c>
      <c r="H13" s="50" t="str">
        <f t="shared" si="3"/>
        <v/>
      </c>
      <c r="I13" s="50"/>
    </row>
    <row r="14" spans="1:9" x14ac:dyDescent="0.25">
      <c r="A14" s="46">
        <v>4</v>
      </c>
      <c r="B14" s="47"/>
      <c r="C14" s="48"/>
      <c r="D14" s="45" t="e">
        <f>VLOOKUP(B14,'6.1'!$M$2:$N$80,2,0)</f>
        <v>#N/A</v>
      </c>
      <c r="E14" s="49">
        <f t="shared" si="0"/>
        <v>0</v>
      </c>
      <c r="F14" s="49" t="str">
        <f t="shared" si="1"/>
        <v xml:space="preserve"> </v>
      </c>
      <c r="G14" s="49">
        <f t="shared" si="2"/>
        <v>0</v>
      </c>
      <c r="H14" s="50" t="str">
        <f t="shared" si="3"/>
        <v/>
      </c>
      <c r="I14" s="50"/>
    </row>
    <row r="15" spans="1:9" x14ac:dyDescent="0.25">
      <c r="A15" s="46">
        <v>5</v>
      </c>
      <c r="B15" s="47"/>
      <c r="C15" s="48"/>
      <c r="D15" s="45" t="e">
        <f>VLOOKUP(B15,'6.1'!$M$2:$N$80,2,0)</f>
        <v>#N/A</v>
      </c>
      <c r="E15" s="49">
        <f t="shared" si="0"/>
        <v>0</v>
      </c>
      <c r="F15" s="49" t="str">
        <f t="shared" si="1"/>
        <v xml:space="preserve"> </v>
      </c>
      <c r="G15" s="49">
        <f t="shared" si="2"/>
        <v>0</v>
      </c>
      <c r="H15" s="50" t="str">
        <f t="shared" si="3"/>
        <v/>
      </c>
      <c r="I15" s="50"/>
    </row>
    <row r="16" spans="1:9" x14ac:dyDescent="0.25">
      <c r="A16" s="46">
        <v>6</v>
      </c>
      <c r="B16" s="47"/>
      <c r="C16" s="48"/>
      <c r="D16" s="45" t="e">
        <f>VLOOKUP(B16,'6.1'!$M$2:$N$80,2,0)</f>
        <v>#N/A</v>
      </c>
      <c r="E16" s="49">
        <f t="shared" si="0"/>
        <v>0</v>
      </c>
      <c r="F16" s="49" t="str">
        <f t="shared" si="1"/>
        <v xml:space="preserve"> </v>
      </c>
      <c r="G16" s="49">
        <f t="shared" si="2"/>
        <v>0</v>
      </c>
      <c r="H16" s="50" t="str">
        <f t="shared" si="3"/>
        <v/>
      </c>
      <c r="I16" s="50"/>
    </row>
    <row r="17" spans="1:9" x14ac:dyDescent="0.25">
      <c r="A17" s="46">
        <v>7</v>
      </c>
      <c r="B17" s="47"/>
      <c r="C17" s="48"/>
      <c r="D17" s="45" t="e">
        <f>VLOOKUP(B17,'6.1'!$M$2:$N$80,2,0)</f>
        <v>#N/A</v>
      </c>
      <c r="E17" s="49">
        <f t="shared" si="0"/>
        <v>0</v>
      </c>
      <c r="F17" s="49" t="str">
        <f t="shared" si="1"/>
        <v xml:space="preserve"> </v>
      </c>
      <c r="G17" s="49">
        <f t="shared" si="2"/>
        <v>0</v>
      </c>
      <c r="H17" s="50" t="str">
        <f t="shared" si="3"/>
        <v/>
      </c>
      <c r="I17" s="50"/>
    </row>
    <row r="18" spans="1:9" x14ac:dyDescent="0.25">
      <c r="A18" s="46">
        <v>8</v>
      </c>
      <c r="B18" s="47"/>
      <c r="C18" s="48"/>
      <c r="D18" s="45" t="e">
        <f>VLOOKUP(B18,'6.1'!$M$2:$N$80,2,0)</f>
        <v>#N/A</v>
      </c>
      <c r="E18" s="49">
        <f t="shared" si="0"/>
        <v>0</v>
      </c>
      <c r="F18" s="49" t="str">
        <f t="shared" si="1"/>
        <v xml:space="preserve"> </v>
      </c>
      <c r="G18" s="49">
        <f t="shared" si="2"/>
        <v>0</v>
      </c>
      <c r="H18" s="50" t="str">
        <f t="shared" si="3"/>
        <v/>
      </c>
      <c r="I18" s="50"/>
    </row>
    <row r="19" spans="1:9" x14ac:dyDescent="0.25">
      <c r="A19" s="46">
        <v>9</v>
      </c>
      <c r="B19" s="47"/>
      <c r="C19" s="48"/>
      <c r="D19" s="45" t="e">
        <f>VLOOKUP(B19,'6.1'!$M$2:$N$80,2,0)</f>
        <v>#N/A</v>
      </c>
      <c r="E19" s="49">
        <f t="shared" si="0"/>
        <v>0</v>
      </c>
      <c r="F19" s="49" t="str">
        <f t="shared" si="1"/>
        <v xml:space="preserve"> </v>
      </c>
      <c r="G19" s="49">
        <f t="shared" si="2"/>
        <v>0</v>
      </c>
      <c r="H19" s="50" t="str">
        <f t="shared" si="3"/>
        <v/>
      </c>
      <c r="I19" s="50"/>
    </row>
    <row r="20" spans="1:9" x14ac:dyDescent="0.25">
      <c r="A20" s="46">
        <v>10</v>
      </c>
      <c r="B20" s="47"/>
      <c r="C20" s="48"/>
      <c r="D20" s="45" t="e">
        <f>VLOOKUP(B20,'6.1'!$M$2:$N$80,2,0)</f>
        <v>#N/A</v>
      </c>
      <c r="E20" s="49">
        <f t="shared" si="0"/>
        <v>0</v>
      </c>
      <c r="F20" s="49" t="str">
        <f t="shared" si="1"/>
        <v xml:space="preserve"> </v>
      </c>
      <c r="G20" s="49">
        <f t="shared" si="2"/>
        <v>0</v>
      </c>
      <c r="H20" s="50" t="str">
        <f t="shared" si="3"/>
        <v/>
      </c>
      <c r="I20" s="50"/>
    </row>
    <row r="21" spans="1:9" x14ac:dyDescent="0.25">
      <c r="A21" s="46">
        <v>11</v>
      </c>
      <c r="B21" s="47"/>
      <c r="C21" s="48"/>
      <c r="D21" s="45" t="e">
        <f>VLOOKUP(B21,'6.1'!$M$2:$N$80,2,0)</f>
        <v>#N/A</v>
      </c>
      <c r="E21" s="49">
        <f t="shared" si="0"/>
        <v>0</v>
      </c>
      <c r="F21" s="49" t="str">
        <f t="shared" si="1"/>
        <v xml:space="preserve"> </v>
      </c>
      <c r="G21" s="49">
        <f t="shared" si="2"/>
        <v>0</v>
      </c>
      <c r="H21" s="50" t="str">
        <f t="shared" si="3"/>
        <v/>
      </c>
      <c r="I21" s="50"/>
    </row>
    <row r="22" spans="1:9" x14ac:dyDescent="0.25">
      <c r="A22" s="46">
        <v>12</v>
      </c>
      <c r="B22" s="47"/>
      <c r="C22" s="48"/>
      <c r="D22" s="45" t="e">
        <f>VLOOKUP(B22,'6.1'!$M$2:$N$80,2,0)</f>
        <v>#N/A</v>
      </c>
      <c r="E22" s="49">
        <f t="shared" si="0"/>
        <v>0</v>
      </c>
      <c r="F22" s="49" t="str">
        <f t="shared" si="1"/>
        <v xml:space="preserve"> </v>
      </c>
      <c r="G22" s="49">
        <f t="shared" si="2"/>
        <v>0</v>
      </c>
      <c r="H22" s="50" t="str">
        <f t="shared" si="3"/>
        <v/>
      </c>
      <c r="I22" s="50"/>
    </row>
    <row r="23" spans="1:9" x14ac:dyDescent="0.25">
      <c r="A23" s="46">
        <v>13</v>
      </c>
      <c r="B23" s="47"/>
      <c r="C23" s="48"/>
      <c r="D23" s="45" t="e">
        <f>VLOOKUP(B23,'6.1'!$M$2:$N$80,2,0)</f>
        <v>#N/A</v>
      </c>
      <c r="E23" s="49">
        <f t="shared" si="0"/>
        <v>0</v>
      </c>
      <c r="F23" s="49" t="str">
        <f t="shared" si="1"/>
        <v xml:space="preserve"> </v>
      </c>
      <c r="G23" s="49">
        <f t="shared" si="2"/>
        <v>0</v>
      </c>
      <c r="H23" s="50" t="str">
        <f t="shared" si="3"/>
        <v/>
      </c>
      <c r="I23" s="50"/>
    </row>
    <row r="24" spans="1:9" x14ac:dyDescent="0.25">
      <c r="A24" s="46">
        <v>14</v>
      </c>
      <c r="B24" s="47"/>
      <c r="C24" s="48"/>
      <c r="D24" s="45" t="e">
        <f>VLOOKUP(B24,'6.1'!$M$2:$N$80,2,0)</f>
        <v>#N/A</v>
      </c>
      <c r="E24" s="49">
        <f t="shared" si="0"/>
        <v>0</v>
      </c>
      <c r="F24" s="49" t="str">
        <f t="shared" si="1"/>
        <v xml:space="preserve"> </v>
      </c>
      <c r="G24" s="49">
        <f t="shared" si="2"/>
        <v>0</v>
      </c>
      <c r="H24" s="50" t="str">
        <f t="shared" si="3"/>
        <v/>
      </c>
      <c r="I24" s="50"/>
    </row>
    <row r="25" spans="1:9" x14ac:dyDescent="0.25">
      <c r="A25" s="46">
        <v>15</v>
      </c>
      <c r="B25" s="47"/>
      <c r="C25" s="48"/>
      <c r="D25" s="45" t="e">
        <f>VLOOKUP(B25,'6.1'!$M$2:$N$80,2,0)</f>
        <v>#N/A</v>
      </c>
      <c r="E25" s="49">
        <f t="shared" si="0"/>
        <v>0</v>
      </c>
      <c r="F25" s="49" t="str">
        <f t="shared" si="1"/>
        <v xml:space="preserve"> </v>
      </c>
      <c r="G25" s="49">
        <f t="shared" si="2"/>
        <v>0</v>
      </c>
      <c r="H25" s="50" t="str">
        <f t="shared" si="3"/>
        <v/>
      </c>
      <c r="I25" s="50"/>
    </row>
    <row r="26" spans="1:9" x14ac:dyDescent="0.25">
      <c r="A26" s="46">
        <v>16</v>
      </c>
      <c r="B26" s="47"/>
      <c r="C26" s="48"/>
      <c r="D26" s="45" t="e">
        <f>VLOOKUP(B26,'6.1'!$M$2:$N$80,2,0)</f>
        <v>#N/A</v>
      </c>
      <c r="E26" s="49">
        <f t="shared" si="0"/>
        <v>0</v>
      </c>
      <c r="F26" s="49" t="str">
        <f t="shared" si="1"/>
        <v xml:space="preserve"> </v>
      </c>
      <c r="G26" s="49">
        <f t="shared" si="2"/>
        <v>0</v>
      </c>
      <c r="H26" s="50" t="str">
        <f t="shared" si="3"/>
        <v/>
      </c>
      <c r="I26" s="50"/>
    </row>
    <row r="27" spans="1:9" x14ac:dyDescent="0.25">
      <c r="A27" s="46">
        <v>17</v>
      </c>
      <c r="B27" s="47"/>
      <c r="C27" s="48"/>
      <c r="D27" s="45" t="e">
        <f>VLOOKUP(B27,'6.1'!$M$2:$N$80,2,0)</f>
        <v>#N/A</v>
      </c>
      <c r="E27" s="49">
        <f t="shared" si="0"/>
        <v>0</v>
      </c>
      <c r="F27" s="49" t="str">
        <f t="shared" si="1"/>
        <v xml:space="preserve"> </v>
      </c>
      <c r="G27" s="49">
        <f t="shared" si="2"/>
        <v>0</v>
      </c>
      <c r="H27" s="50" t="str">
        <f t="shared" si="3"/>
        <v/>
      </c>
      <c r="I27" s="50"/>
    </row>
    <row r="28" spans="1:9" x14ac:dyDescent="0.25">
      <c r="A28" s="46">
        <v>18</v>
      </c>
      <c r="B28" s="47"/>
      <c r="C28" s="48"/>
      <c r="D28" s="45" t="e">
        <f>VLOOKUP(B28,'6.1'!$M$2:$N$80,2,0)</f>
        <v>#N/A</v>
      </c>
      <c r="E28" s="49">
        <f t="shared" si="0"/>
        <v>0</v>
      </c>
      <c r="F28" s="49" t="str">
        <f t="shared" si="1"/>
        <v xml:space="preserve"> </v>
      </c>
      <c r="G28" s="49">
        <f t="shared" si="2"/>
        <v>0</v>
      </c>
      <c r="H28" s="50" t="str">
        <f t="shared" si="3"/>
        <v/>
      </c>
      <c r="I28" s="50"/>
    </row>
    <row r="29" spans="1:9" x14ac:dyDescent="0.25">
      <c r="A29" s="46">
        <v>19</v>
      </c>
      <c r="B29" s="47"/>
      <c r="C29" s="48"/>
      <c r="D29" s="45" t="e">
        <f>VLOOKUP(B29,'6.1'!$M$2:$N$80,2,0)</f>
        <v>#N/A</v>
      </c>
      <c r="E29" s="49">
        <f t="shared" si="0"/>
        <v>0</v>
      </c>
      <c r="F29" s="49" t="str">
        <f t="shared" si="1"/>
        <v xml:space="preserve"> </v>
      </c>
      <c r="G29" s="49">
        <f t="shared" si="2"/>
        <v>0</v>
      </c>
      <c r="H29" s="50" t="str">
        <f t="shared" si="3"/>
        <v/>
      </c>
      <c r="I29" s="50"/>
    </row>
    <row r="30" spans="1:9" x14ac:dyDescent="0.25">
      <c r="A30" s="46">
        <v>20</v>
      </c>
      <c r="B30" s="47"/>
      <c r="C30" s="48"/>
      <c r="D30" s="45" t="e">
        <f>VLOOKUP(B30,'6.1'!$M$2:$N$80,2,0)</f>
        <v>#N/A</v>
      </c>
      <c r="E30" s="49">
        <f t="shared" si="0"/>
        <v>0</v>
      </c>
      <c r="F30" s="49" t="str">
        <f t="shared" si="1"/>
        <v xml:space="preserve"> </v>
      </c>
      <c r="G30" s="49">
        <f t="shared" si="2"/>
        <v>0</v>
      </c>
      <c r="H30" s="50" t="str">
        <f t="shared" si="3"/>
        <v/>
      </c>
      <c r="I30" s="50"/>
    </row>
    <row r="31" spans="1:9" x14ac:dyDescent="0.25">
      <c r="A31" s="46">
        <v>21</v>
      </c>
      <c r="B31" s="47"/>
      <c r="C31" s="48"/>
      <c r="D31" s="45" t="e">
        <f>VLOOKUP(B31,'6.1'!$M$2:$N$80,2,0)</f>
        <v>#N/A</v>
      </c>
      <c r="E31" s="49">
        <f t="shared" si="0"/>
        <v>0</v>
      </c>
      <c r="F31" s="49" t="str">
        <f t="shared" si="1"/>
        <v xml:space="preserve"> </v>
      </c>
      <c r="G31" s="49">
        <f t="shared" si="2"/>
        <v>0</v>
      </c>
      <c r="H31" s="50" t="str">
        <f t="shared" si="3"/>
        <v/>
      </c>
      <c r="I31" s="50"/>
    </row>
    <row r="32" spans="1:9" x14ac:dyDescent="0.25">
      <c r="A32" s="46">
        <v>22</v>
      </c>
      <c r="B32" s="47"/>
      <c r="C32" s="48"/>
      <c r="D32" s="45" t="e">
        <f>VLOOKUP(B32,'6.1'!$M$2:$N$80,2,0)</f>
        <v>#N/A</v>
      </c>
      <c r="E32" s="49">
        <f t="shared" si="0"/>
        <v>0</v>
      </c>
      <c r="F32" s="49" t="str">
        <f t="shared" si="1"/>
        <v xml:space="preserve"> </v>
      </c>
      <c r="G32" s="49">
        <f t="shared" si="2"/>
        <v>0</v>
      </c>
      <c r="H32" s="50" t="str">
        <f t="shared" si="3"/>
        <v/>
      </c>
      <c r="I32" s="50"/>
    </row>
    <row r="33" spans="1:9" x14ac:dyDescent="0.25">
      <c r="A33" s="46">
        <v>23</v>
      </c>
      <c r="B33" s="47"/>
      <c r="C33" s="48"/>
      <c r="D33" s="45" t="e">
        <f>VLOOKUP(B33,'6.1'!$M$2:$N$80,2,0)</f>
        <v>#N/A</v>
      </c>
      <c r="E33" s="49">
        <f t="shared" si="0"/>
        <v>0</v>
      </c>
      <c r="F33" s="49" t="str">
        <f t="shared" si="1"/>
        <v xml:space="preserve"> </v>
      </c>
      <c r="G33" s="49">
        <f t="shared" si="2"/>
        <v>0</v>
      </c>
      <c r="H33" s="50" t="str">
        <f t="shared" si="3"/>
        <v/>
      </c>
      <c r="I33" s="50"/>
    </row>
    <row r="34" spans="1:9" x14ac:dyDescent="0.25">
      <c r="A34" s="46">
        <v>24</v>
      </c>
      <c r="B34" s="47"/>
      <c r="C34" s="48"/>
      <c r="D34" s="45" t="e">
        <f>VLOOKUP(B34,'6.1'!$M$2:$N$80,2,0)</f>
        <v>#N/A</v>
      </c>
      <c r="E34" s="49">
        <f t="shared" si="0"/>
        <v>0</v>
      </c>
      <c r="F34" s="49" t="str">
        <f t="shared" si="1"/>
        <v xml:space="preserve"> </v>
      </c>
      <c r="G34" s="49">
        <f t="shared" si="2"/>
        <v>0</v>
      </c>
      <c r="H34" s="50" t="str">
        <f t="shared" si="3"/>
        <v/>
      </c>
      <c r="I34" s="50"/>
    </row>
    <row r="35" spans="1:9" x14ac:dyDescent="0.25">
      <c r="A35" s="46">
        <v>25</v>
      </c>
      <c r="B35" s="47"/>
      <c r="C35" s="48"/>
      <c r="D35" s="45" t="e">
        <f>VLOOKUP(B35,'6.1'!$M$2:$N$80,2,0)</f>
        <v>#N/A</v>
      </c>
      <c r="E35" s="49">
        <f t="shared" si="0"/>
        <v>0</v>
      </c>
      <c r="F35" s="49" t="str">
        <f t="shared" si="1"/>
        <v xml:space="preserve"> </v>
      </c>
      <c r="G35" s="49">
        <f t="shared" si="2"/>
        <v>0</v>
      </c>
      <c r="H35" s="50" t="str">
        <f t="shared" si="3"/>
        <v/>
      </c>
      <c r="I35" s="50"/>
    </row>
    <row r="36" spans="1:9" x14ac:dyDescent="0.25">
      <c r="A36" s="46">
        <v>26</v>
      </c>
      <c r="B36" s="47"/>
      <c r="C36" s="48"/>
      <c r="D36" s="45" t="e">
        <f>VLOOKUP(B36,'6.1'!$M$2:$N$80,2,0)</f>
        <v>#N/A</v>
      </c>
      <c r="E36" s="49">
        <f t="shared" si="0"/>
        <v>0</v>
      </c>
      <c r="F36" s="49" t="str">
        <f t="shared" si="1"/>
        <v xml:space="preserve"> </v>
      </c>
      <c r="G36" s="49">
        <f t="shared" si="2"/>
        <v>0</v>
      </c>
      <c r="H36" s="50" t="str">
        <f t="shared" si="3"/>
        <v/>
      </c>
      <c r="I36" s="50"/>
    </row>
    <row r="37" spans="1:9" x14ac:dyDescent="0.25">
      <c r="A37" s="46">
        <v>27</v>
      </c>
      <c r="B37" s="47"/>
      <c r="C37" s="48"/>
      <c r="D37" s="45" t="e">
        <f>VLOOKUP(B37,'6.1'!$M$2:$N$80,2,0)</f>
        <v>#N/A</v>
      </c>
      <c r="E37" s="49">
        <f t="shared" si="0"/>
        <v>0</v>
      </c>
      <c r="F37" s="49" t="str">
        <f t="shared" si="1"/>
        <v xml:space="preserve"> </v>
      </c>
      <c r="G37" s="49">
        <f t="shared" si="2"/>
        <v>0</v>
      </c>
      <c r="H37" s="50" t="str">
        <f t="shared" si="3"/>
        <v/>
      </c>
      <c r="I37" s="50"/>
    </row>
    <row r="38" spans="1:9" x14ac:dyDescent="0.25">
      <c r="A38" s="46">
        <v>28</v>
      </c>
      <c r="B38" s="47"/>
      <c r="C38" s="48"/>
      <c r="D38" s="45" t="e">
        <f>VLOOKUP(B38,'6.1'!$M$2:$N$80,2,0)</f>
        <v>#N/A</v>
      </c>
      <c r="E38" s="49">
        <f t="shared" si="0"/>
        <v>0</v>
      </c>
      <c r="F38" s="49" t="str">
        <f t="shared" si="1"/>
        <v xml:space="preserve"> </v>
      </c>
      <c r="G38" s="49">
        <f t="shared" si="2"/>
        <v>0</v>
      </c>
      <c r="H38" s="50" t="str">
        <f t="shared" si="3"/>
        <v/>
      </c>
      <c r="I38" s="50"/>
    </row>
    <row r="39" spans="1:9" x14ac:dyDescent="0.25">
      <c r="A39" s="46">
        <v>29</v>
      </c>
      <c r="B39" s="47"/>
      <c r="C39" s="48"/>
      <c r="D39" s="45" t="e">
        <f>VLOOKUP(B39,'6.1'!$M$2:$N$80,2,0)</f>
        <v>#N/A</v>
      </c>
      <c r="E39" s="49">
        <f t="shared" si="0"/>
        <v>0</v>
      </c>
      <c r="F39" s="49" t="str">
        <f t="shared" si="1"/>
        <v xml:space="preserve"> </v>
      </c>
      <c r="G39" s="49">
        <f t="shared" si="2"/>
        <v>0</v>
      </c>
      <c r="H39" s="50" t="str">
        <f t="shared" si="3"/>
        <v/>
      </c>
      <c r="I39" s="50"/>
    </row>
    <row r="40" spans="1:9" x14ac:dyDescent="0.25">
      <c r="A40" s="46">
        <v>30</v>
      </c>
      <c r="B40" s="47"/>
      <c r="C40" s="48"/>
      <c r="D40" s="45" t="e">
        <f>VLOOKUP(B40,'6.1'!$M$2:$N$80,2,0)</f>
        <v>#N/A</v>
      </c>
      <c r="E40" s="49">
        <f t="shared" si="0"/>
        <v>0</v>
      </c>
      <c r="F40" s="49" t="str">
        <f t="shared" si="1"/>
        <v xml:space="preserve"> </v>
      </c>
      <c r="G40" s="49">
        <f t="shared" si="2"/>
        <v>0</v>
      </c>
      <c r="H40" s="50" t="str">
        <f t="shared" si="3"/>
        <v/>
      </c>
      <c r="I40" s="50"/>
    </row>
    <row r="43" spans="1:9" hidden="1" x14ac:dyDescent="0.25">
      <c r="A43" s="51"/>
      <c r="B43" s="51"/>
      <c r="C43" s="51"/>
      <c r="D43" s="51"/>
      <c r="E43" s="52">
        <f>SUM(E11:E40)</f>
        <v>0</v>
      </c>
      <c r="F43" s="53">
        <f>COUNT(F11:F40)</f>
        <v>0</v>
      </c>
      <c r="G43" s="51"/>
      <c r="H43" s="51"/>
      <c r="I43" s="51"/>
    </row>
    <row r="44" spans="1:9" x14ac:dyDescent="0.25">
      <c r="B44" s="42" t="s">
        <v>11</v>
      </c>
      <c r="E44" s="54">
        <f>IFERROR(F44,0)</f>
        <v>0</v>
      </c>
      <c r="F44" s="55" t="e">
        <f>E43/F43</f>
        <v>#DIV/0!</v>
      </c>
    </row>
  </sheetData>
  <sheetProtection algorithmName="SHA-512" hashValue="/mLZuwtBS616gUj1Lf+3aMjRiTJ4PrmfKVYW/Ny0S086glt6+O4SLac3DPnnQEP+FjueRQl30mcWoM/wjzfAcg==" saltValue="1UGhbP2wzJHfniqR8J594w==" spinCount="100000" sheet="1" objects="1" scenarios="1"/>
  <mergeCells count="1">
    <mergeCell ref="B4:I4"/>
  </mergeCells>
  <conditionalFormatting sqref="H11:H40">
    <cfRule type="cellIs" dxfId="16" priority="2" operator="equal">
      <formula>"okres je zadaný viackrát"</formula>
    </cfRule>
  </conditionalFormatting>
  <conditionalFormatting sqref="I11:I40">
    <cfRule type="cellIs" dxfId="15" priority="1" operator="equal">
      <formula>"nezadané miesto realizácie"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'6.1'!$M$2:$M$80</xm:f>
          </x14:formula1>
          <xm:sqref>B11:B40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>
    <pageSetUpPr fitToPage="1"/>
  </sheetPr>
  <dimension ref="A1:L60"/>
  <sheetViews>
    <sheetView tabSelected="1" workbookViewId="0">
      <selection activeCell="C57" sqref="C57"/>
    </sheetView>
  </sheetViews>
  <sheetFormatPr defaultRowHeight="12.75" x14ac:dyDescent="0.2"/>
  <cols>
    <col min="1" max="1" width="43.85546875" style="73" customWidth="1"/>
    <col min="2" max="2" width="10.5703125" style="73" customWidth="1"/>
    <col min="3" max="3" width="14.85546875" style="73" bestFit="1" customWidth="1"/>
    <col min="4" max="4" width="19.7109375" style="73" bestFit="1" customWidth="1"/>
    <col min="5" max="5" width="12" style="73" bestFit="1" customWidth="1"/>
    <col min="6" max="6" width="13.140625" style="73" hidden="1" customWidth="1"/>
    <col min="7" max="7" width="14.28515625" style="73" customWidth="1"/>
    <col min="8" max="8" width="9.140625" style="73"/>
    <col min="9" max="10" width="9.140625" style="73" customWidth="1"/>
    <col min="11" max="11" width="24.140625" style="73" hidden="1" customWidth="1"/>
    <col min="12" max="12" width="16.7109375" style="73" hidden="1" customWidth="1"/>
    <col min="13" max="16384" width="9.140625" style="73"/>
  </cols>
  <sheetData>
    <row r="1" spans="1:12" x14ac:dyDescent="0.2">
      <c r="A1" s="39" t="s">
        <v>162</v>
      </c>
    </row>
    <row r="2" spans="1:12" x14ac:dyDescent="0.2">
      <c r="A2" s="41" t="s">
        <v>159</v>
      </c>
    </row>
    <row r="3" spans="1:12" x14ac:dyDescent="0.2">
      <c r="A3" s="41"/>
    </row>
    <row r="4" spans="1:12" ht="15" customHeight="1" x14ac:dyDescent="0.2">
      <c r="A4" s="92" t="s">
        <v>0</v>
      </c>
      <c r="B4" s="176" t="str">
        <f>IF('6.1'!C5="","",'6.1'!C5)</f>
        <v/>
      </c>
      <c r="C4" s="177"/>
      <c r="D4" s="177"/>
      <c r="E4" s="177"/>
      <c r="F4" s="177"/>
      <c r="G4" s="178"/>
    </row>
    <row r="5" spans="1:12" ht="15" customHeight="1" x14ac:dyDescent="0.2">
      <c r="A5" s="92" t="s">
        <v>1</v>
      </c>
      <c r="B5" s="125" t="str">
        <f>IF('6.1'!C6="","",'6.1'!C6)</f>
        <v/>
      </c>
      <c r="C5" s="95"/>
      <c r="D5" s="95"/>
      <c r="E5" s="95"/>
      <c r="F5" s="95"/>
      <c r="G5" s="95"/>
    </row>
    <row r="7" spans="1:12" ht="48" x14ac:dyDescent="0.2">
      <c r="A7" s="120" t="s">
        <v>111</v>
      </c>
      <c r="B7" s="121" t="s">
        <v>112</v>
      </c>
      <c r="C7" s="121" t="s">
        <v>113</v>
      </c>
      <c r="D7" s="121" t="s">
        <v>203</v>
      </c>
      <c r="E7" s="121" t="s">
        <v>114</v>
      </c>
      <c r="F7" s="121" t="s">
        <v>115</v>
      </c>
      <c r="G7" s="121" t="s">
        <v>170</v>
      </c>
    </row>
    <row r="8" spans="1:12" x14ac:dyDescent="0.2">
      <c r="A8" s="122" t="s">
        <v>116</v>
      </c>
      <c r="B8" s="109"/>
      <c r="C8" s="108"/>
      <c r="D8" s="108"/>
      <c r="E8" s="108"/>
      <c r="F8" s="108" t="s">
        <v>117</v>
      </c>
      <c r="G8" s="108"/>
    </row>
    <row r="9" spans="1:12" x14ac:dyDescent="0.2">
      <c r="A9" s="102" t="s">
        <v>118</v>
      </c>
      <c r="B9" s="96" t="s">
        <v>119</v>
      </c>
      <c r="C9" s="179">
        <v>572.12</v>
      </c>
      <c r="D9" s="97">
        <v>8000</v>
      </c>
      <c r="E9" s="117"/>
      <c r="F9" s="98">
        <f>C9*E9</f>
        <v>0</v>
      </c>
      <c r="G9" s="112" t="str">
        <f>IF(F9=0,"",F9)</f>
        <v/>
      </c>
      <c r="I9" s="76"/>
      <c r="K9" s="81" t="e">
        <f>SUMPRODUCT(E9:E48,D9:D48)/SUM(E9:E48)</f>
        <v>#DIV/0!</v>
      </c>
      <c r="L9" s="82" t="e">
        <f>SUMPRODUCT(D9:D48,G9:G48)/SUM(G9:G48)</f>
        <v>#DIV/0!</v>
      </c>
    </row>
    <row r="10" spans="1:12" x14ac:dyDescent="0.2">
      <c r="A10" s="102" t="s">
        <v>120</v>
      </c>
      <c r="B10" s="96" t="s">
        <v>119</v>
      </c>
      <c r="C10" s="179">
        <v>3688.2</v>
      </c>
      <c r="D10" s="97">
        <v>10000</v>
      </c>
      <c r="E10" s="117"/>
      <c r="F10" s="98">
        <f t="shared" ref="F10:F48" si="0">C10*E10</f>
        <v>0</v>
      </c>
      <c r="G10" s="112" t="str">
        <f t="shared" ref="G10:G12" si="1">IF(F10=0,"",F10)</f>
        <v/>
      </c>
      <c r="I10" s="76"/>
      <c r="K10" s="83">
        <f>IFERROR(K9,0)</f>
        <v>0</v>
      </c>
      <c r="L10" s="84"/>
    </row>
    <row r="11" spans="1:12" x14ac:dyDescent="0.2">
      <c r="A11" s="103" t="s">
        <v>163</v>
      </c>
      <c r="B11" s="96" t="s">
        <v>119</v>
      </c>
      <c r="C11" s="179">
        <v>1788.11</v>
      </c>
      <c r="D11" s="97">
        <v>8000</v>
      </c>
      <c r="E11" s="117"/>
      <c r="F11" s="98">
        <f t="shared" si="0"/>
        <v>0</v>
      </c>
      <c r="G11" s="112" t="str">
        <f t="shared" si="1"/>
        <v/>
      </c>
      <c r="I11" s="76"/>
      <c r="K11" s="84"/>
      <c r="L11" s="84"/>
    </row>
    <row r="12" spans="1:12" ht="25.5" x14ac:dyDescent="0.2">
      <c r="A12" s="103" t="s">
        <v>172</v>
      </c>
      <c r="B12" s="96" t="s">
        <v>119</v>
      </c>
      <c r="C12" s="179">
        <v>48154.09</v>
      </c>
      <c r="D12" s="97">
        <v>10000</v>
      </c>
      <c r="E12" s="117"/>
      <c r="F12" s="98">
        <f t="shared" si="0"/>
        <v>0</v>
      </c>
      <c r="G12" s="112" t="str">
        <f t="shared" si="1"/>
        <v/>
      </c>
      <c r="I12" s="76"/>
      <c r="K12" s="84"/>
      <c r="L12" s="84"/>
    </row>
    <row r="13" spans="1:12" x14ac:dyDescent="0.2">
      <c r="A13" s="104" t="s">
        <v>164</v>
      </c>
      <c r="B13" s="99" t="s">
        <v>117</v>
      </c>
      <c r="C13" s="99" t="s">
        <v>117</v>
      </c>
      <c r="D13" s="99" t="s">
        <v>117</v>
      </c>
      <c r="E13" s="99" t="s">
        <v>117</v>
      </c>
      <c r="F13" s="99" t="s">
        <v>117</v>
      </c>
      <c r="G13" s="113" t="s">
        <v>117</v>
      </c>
      <c r="I13" s="76"/>
      <c r="K13" s="81">
        <f>K10-G55</f>
        <v>0</v>
      </c>
      <c r="L13" s="84"/>
    </row>
    <row r="14" spans="1:12" x14ac:dyDescent="0.2">
      <c r="A14" s="105" t="s">
        <v>166</v>
      </c>
      <c r="B14" s="96" t="s">
        <v>119</v>
      </c>
      <c r="C14" s="179">
        <v>4877.46</v>
      </c>
      <c r="D14" s="97">
        <v>10000</v>
      </c>
      <c r="E14" s="117"/>
      <c r="F14" s="98">
        <f t="shared" si="0"/>
        <v>0</v>
      </c>
      <c r="G14" s="112" t="str">
        <f>IF(F14=0,"",F14)</f>
        <v/>
      </c>
      <c r="I14" s="76"/>
      <c r="K14" s="85" t="str">
        <f>IF(G55&lt;8000,"nedosiahnutie štandardného výstupu - nesplnenie podmienok",IF(G55&gt;50000,"prekročenie štandardného výstupu - nesplnenie podmienok",IF(K13&lt;=0,"štandardný výstup dosiahnutý","nedosiahnutie štandardného výstupu - nesplnenie podmienok")))</f>
        <v>nedosiahnutie štandardného výstupu - nesplnenie podmienok</v>
      </c>
      <c r="L14" s="84"/>
    </row>
    <row r="15" spans="1:12" x14ac:dyDescent="0.2">
      <c r="A15" s="106" t="s">
        <v>173</v>
      </c>
      <c r="B15" s="96" t="s">
        <v>119</v>
      </c>
      <c r="C15" s="179">
        <v>48154.09</v>
      </c>
      <c r="D15" s="97">
        <v>10000</v>
      </c>
      <c r="E15" s="117"/>
      <c r="F15" s="98">
        <f t="shared" si="0"/>
        <v>0</v>
      </c>
      <c r="G15" s="112" t="str">
        <f>IF(F15=0,"",F15)</f>
        <v/>
      </c>
      <c r="I15" s="76"/>
      <c r="K15" s="84"/>
      <c r="L15" s="84"/>
    </row>
    <row r="16" spans="1:12" x14ac:dyDescent="0.2">
      <c r="A16" s="104" t="s">
        <v>165</v>
      </c>
      <c r="B16" s="99" t="s">
        <v>117</v>
      </c>
      <c r="C16" s="99" t="s">
        <v>117</v>
      </c>
      <c r="D16" s="99" t="s">
        <v>117</v>
      </c>
      <c r="E16" s="99" t="s">
        <v>117</v>
      </c>
      <c r="F16" s="99" t="s">
        <v>117</v>
      </c>
      <c r="G16" s="113" t="s">
        <v>117</v>
      </c>
      <c r="I16" s="76"/>
      <c r="K16" s="84" t="str">
        <f>IF(OR(G55&lt;4000,G55&gt;50000),"Nesplnenie podmienok","")</f>
        <v>Nesplnenie podmienok</v>
      </c>
      <c r="L16" s="84"/>
    </row>
    <row r="17" spans="1:9" x14ac:dyDescent="0.2">
      <c r="A17" s="105" t="s">
        <v>167</v>
      </c>
      <c r="B17" s="96" t="s">
        <v>119</v>
      </c>
      <c r="C17" s="179">
        <v>1562.92</v>
      </c>
      <c r="D17" s="97">
        <v>8000</v>
      </c>
      <c r="E17" s="117"/>
      <c r="F17" s="98">
        <f t="shared" si="0"/>
        <v>0</v>
      </c>
      <c r="G17" s="112" t="str">
        <f>IF(F17=0,"",F17)</f>
        <v/>
      </c>
      <c r="I17" s="76"/>
    </row>
    <row r="18" spans="1:9" x14ac:dyDescent="0.2">
      <c r="A18" s="104" t="s">
        <v>121</v>
      </c>
      <c r="B18" s="96" t="s">
        <v>119</v>
      </c>
      <c r="C18" s="179">
        <v>2272.39</v>
      </c>
      <c r="D18" s="97">
        <v>10000</v>
      </c>
      <c r="E18" s="117"/>
      <c r="F18" s="98">
        <f t="shared" si="0"/>
        <v>0</v>
      </c>
      <c r="G18" s="112" t="str">
        <f>IF(F18=0,"",F18)</f>
        <v/>
      </c>
      <c r="I18" s="76"/>
    </row>
    <row r="19" spans="1:9" x14ac:dyDescent="0.2">
      <c r="A19" s="122" t="s">
        <v>122</v>
      </c>
      <c r="B19" s="107"/>
      <c r="C19" s="108"/>
      <c r="D19" s="108"/>
      <c r="E19" s="108"/>
      <c r="F19" s="108"/>
      <c r="G19" s="114"/>
    </row>
    <row r="20" spans="1:9" x14ac:dyDescent="0.2">
      <c r="A20" s="102" t="s">
        <v>123</v>
      </c>
      <c r="B20" s="96" t="s">
        <v>124</v>
      </c>
      <c r="C20" s="179">
        <v>707.27</v>
      </c>
      <c r="D20" s="97">
        <v>8000</v>
      </c>
      <c r="E20" s="110"/>
      <c r="F20" s="98">
        <f t="shared" si="0"/>
        <v>0</v>
      </c>
      <c r="G20" s="111" t="str">
        <f>IF(F20=0,"",F20)</f>
        <v/>
      </c>
    </row>
    <row r="21" spans="1:9" x14ac:dyDescent="0.2">
      <c r="A21" s="102" t="s">
        <v>125</v>
      </c>
      <c r="B21" s="100" t="s">
        <v>117</v>
      </c>
      <c r="C21" s="99" t="s">
        <v>117</v>
      </c>
      <c r="D21" s="100" t="s">
        <v>117</v>
      </c>
      <c r="E21" s="100" t="s">
        <v>117</v>
      </c>
      <c r="F21" s="99" t="s">
        <v>117</v>
      </c>
      <c r="G21" s="113" t="s">
        <v>117</v>
      </c>
      <c r="I21" s="76"/>
    </row>
    <row r="22" spans="1:9" x14ac:dyDescent="0.2">
      <c r="A22" s="105" t="s">
        <v>126</v>
      </c>
      <c r="B22" s="96" t="s">
        <v>124</v>
      </c>
      <c r="C22" s="179">
        <v>322.25</v>
      </c>
      <c r="D22" s="97">
        <v>8000</v>
      </c>
      <c r="E22" s="110"/>
      <c r="F22" s="98">
        <f t="shared" si="0"/>
        <v>0</v>
      </c>
      <c r="G22" s="111" t="str">
        <f t="shared" ref="G22:G28" si="2">IF(F22=0,"",F22)</f>
        <v/>
      </c>
    </row>
    <row r="23" spans="1:9" x14ac:dyDescent="0.2">
      <c r="A23" s="105" t="s">
        <v>127</v>
      </c>
      <c r="B23" s="96" t="s">
        <v>124</v>
      </c>
      <c r="C23" s="179">
        <v>596.59</v>
      </c>
      <c r="D23" s="97">
        <v>8000</v>
      </c>
      <c r="E23" s="118"/>
      <c r="F23" s="98">
        <f t="shared" si="0"/>
        <v>0</v>
      </c>
      <c r="G23" s="111" t="str">
        <f t="shared" si="2"/>
        <v/>
      </c>
      <c r="I23" s="76"/>
    </row>
    <row r="24" spans="1:9" x14ac:dyDescent="0.2">
      <c r="A24" s="105" t="s">
        <v>128</v>
      </c>
      <c r="B24" s="96" t="s">
        <v>124</v>
      </c>
      <c r="C24" s="179">
        <v>491.16</v>
      </c>
      <c r="D24" s="97">
        <v>8000</v>
      </c>
      <c r="E24" s="118"/>
      <c r="F24" s="98">
        <f t="shared" si="0"/>
        <v>0</v>
      </c>
      <c r="G24" s="111" t="str">
        <f t="shared" si="2"/>
        <v/>
      </c>
      <c r="I24" s="76"/>
    </row>
    <row r="25" spans="1:9" x14ac:dyDescent="0.2">
      <c r="A25" s="105" t="s">
        <v>129</v>
      </c>
      <c r="B25" s="96" t="s">
        <v>124</v>
      </c>
      <c r="C25" s="179">
        <v>340.41</v>
      </c>
      <c r="D25" s="97">
        <v>8000</v>
      </c>
      <c r="E25" s="118"/>
      <c r="F25" s="98">
        <f t="shared" si="0"/>
        <v>0</v>
      </c>
      <c r="G25" s="111" t="str">
        <f t="shared" si="2"/>
        <v/>
      </c>
      <c r="I25" s="76"/>
    </row>
    <row r="26" spans="1:9" x14ac:dyDescent="0.2">
      <c r="A26" s="105" t="s">
        <v>130</v>
      </c>
      <c r="B26" s="96" t="s">
        <v>124</v>
      </c>
      <c r="C26" s="179">
        <v>644.47</v>
      </c>
      <c r="D26" s="97">
        <v>8000</v>
      </c>
      <c r="E26" s="118"/>
      <c r="F26" s="98">
        <f t="shared" si="0"/>
        <v>0</v>
      </c>
      <c r="G26" s="111" t="str">
        <f t="shared" si="2"/>
        <v/>
      </c>
      <c r="I26" s="76"/>
    </row>
    <row r="27" spans="1:9" x14ac:dyDescent="0.2">
      <c r="A27" s="105" t="s">
        <v>131</v>
      </c>
      <c r="B27" s="96" t="s">
        <v>124</v>
      </c>
      <c r="C27" s="179">
        <v>2608.2800000000002</v>
      </c>
      <c r="D27" s="97">
        <v>10000</v>
      </c>
      <c r="E27" s="118"/>
      <c r="F27" s="98">
        <f t="shared" si="0"/>
        <v>0</v>
      </c>
      <c r="G27" s="111" t="str">
        <f t="shared" si="2"/>
        <v/>
      </c>
      <c r="I27" s="76"/>
    </row>
    <row r="28" spans="1:9" x14ac:dyDescent="0.2">
      <c r="A28" s="105" t="s">
        <v>132</v>
      </c>
      <c r="B28" s="96" t="s">
        <v>124</v>
      </c>
      <c r="C28" s="179">
        <v>303.5</v>
      </c>
      <c r="D28" s="97">
        <v>8000</v>
      </c>
      <c r="E28" s="118"/>
      <c r="F28" s="98">
        <f t="shared" si="0"/>
        <v>0</v>
      </c>
      <c r="G28" s="111" t="str">
        <f t="shared" si="2"/>
        <v/>
      </c>
      <c r="I28" s="76"/>
    </row>
    <row r="29" spans="1:9" x14ac:dyDescent="0.2">
      <c r="A29" s="102" t="s">
        <v>133</v>
      </c>
      <c r="B29" s="100" t="s">
        <v>117</v>
      </c>
      <c r="C29" s="99" t="s">
        <v>117</v>
      </c>
      <c r="D29" s="100" t="s">
        <v>117</v>
      </c>
      <c r="E29" s="100" t="s">
        <v>117</v>
      </c>
      <c r="F29" s="99" t="s">
        <v>117</v>
      </c>
      <c r="G29" s="113" t="s">
        <v>117</v>
      </c>
      <c r="I29" s="76"/>
    </row>
    <row r="30" spans="1:9" x14ac:dyDescent="0.2">
      <c r="A30" s="105" t="s">
        <v>134</v>
      </c>
      <c r="B30" s="96" t="s">
        <v>124</v>
      </c>
      <c r="C30" s="179">
        <v>86.72</v>
      </c>
      <c r="D30" s="97">
        <v>8000</v>
      </c>
      <c r="E30" s="110"/>
      <c r="F30" s="98">
        <f t="shared" si="0"/>
        <v>0</v>
      </c>
      <c r="G30" s="111" t="str">
        <f>IF(F30=0,"",F30)</f>
        <v/>
      </c>
    </row>
    <row r="31" spans="1:9" x14ac:dyDescent="0.2">
      <c r="A31" s="105" t="s">
        <v>135</v>
      </c>
      <c r="B31" s="96" t="s">
        <v>124</v>
      </c>
      <c r="C31" s="179">
        <v>74.5</v>
      </c>
      <c r="D31" s="97">
        <v>8000</v>
      </c>
      <c r="E31" s="118"/>
      <c r="F31" s="98">
        <f t="shared" si="0"/>
        <v>0</v>
      </c>
      <c r="G31" s="111" t="str">
        <f>IF(F31=0,"",F31)</f>
        <v/>
      </c>
      <c r="I31" s="76"/>
    </row>
    <row r="32" spans="1:9" x14ac:dyDescent="0.2">
      <c r="A32" s="105" t="s">
        <v>136</v>
      </c>
      <c r="B32" s="96" t="s">
        <v>124</v>
      </c>
      <c r="C32" s="179">
        <v>58.5</v>
      </c>
      <c r="D32" s="97">
        <v>8000</v>
      </c>
      <c r="E32" s="118"/>
      <c r="F32" s="98">
        <f t="shared" si="0"/>
        <v>0</v>
      </c>
      <c r="G32" s="111" t="str">
        <f>IF(F32=0,"",F32)</f>
        <v/>
      </c>
      <c r="I32" s="76"/>
    </row>
    <row r="33" spans="1:9" x14ac:dyDescent="0.2">
      <c r="A33" s="102" t="s">
        <v>137</v>
      </c>
      <c r="B33" s="100" t="s">
        <v>117</v>
      </c>
      <c r="C33" s="99" t="s">
        <v>117</v>
      </c>
      <c r="D33" s="100" t="s">
        <v>117</v>
      </c>
      <c r="E33" s="100" t="s">
        <v>117</v>
      </c>
      <c r="F33" s="99" t="s">
        <v>117</v>
      </c>
      <c r="G33" s="113" t="s">
        <v>117</v>
      </c>
      <c r="I33" s="76"/>
    </row>
    <row r="34" spans="1:9" x14ac:dyDescent="0.2">
      <c r="A34" s="105" t="s">
        <v>138</v>
      </c>
      <c r="B34" s="96" t="s">
        <v>124</v>
      </c>
      <c r="C34" s="179">
        <v>207</v>
      </c>
      <c r="D34" s="97">
        <v>8000</v>
      </c>
      <c r="E34" s="110"/>
      <c r="F34" s="98">
        <f t="shared" si="0"/>
        <v>0</v>
      </c>
      <c r="G34" s="111" t="str">
        <f>IF(F34=0,"",F34)</f>
        <v/>
      </c>
    </row>
    <row r="35" spans="1:9" x14ac:dyDescent="0.2">
      <c r="A35" s="105" t="s">
        <v>139</v>
      </c>
      <c r="B35" s="96" t="s">
        <v>124</v>
      </c>
      <c r="C35" s="179">
        <v>181</v>
      </c>
      <c r="D35" s="97">
        <v>8000</v>
      </c>
      <c r="E35" s="118"/>
      <c r="F35" s="98">
        <f t="shared" si="0"/>
        <v>0</v>
      </c>
      <c r="G35" s="111" t="str">
        <f>IF(F35=0,"",F35)</f>
        <v/>
      </c>
      <c r="I35" s="76"/>
    </row>
    <row r="36" spans="1:9" x14ac:dyDescent="0.2">
      <c r="A36" s="102" t="s">
        <v>140</v>
      </c>
      <c r="B36" s="100" t="s">
        <v>117</v>
      </c>
      <c r="C36" s="99" t="s">
        <v>117</v>
      </c>
      <c r="D36" s="100" t="s">
        <v>117</v>
      </c>
      <c r="E36" s="100" t="s">
        <v>117</v>
      </c>
      <c r="F36" s="99" t="s">
        <v>117</v>
      </c>
      <c r="G36" s="113" t="s">
        <v>117</v>
      </c>
      <c r="I36" s="76"/>
    </row>
    <row r="37" spans="1:9" x14ac:dyDescent="0.2">
      <c r="A37" s="105" t="s">
        <v>171</v>
      </c>
      <c r="B37" s="96" t="s">
        <v>124</v>
      </c>
      <c r="C37" s="179">
        <v>63.31</v>
      </c>
      <c r="D37" s="97">
        <v>8000</v>
      </c>
      <c r="E37" s="118"/>
      <c r="F37" s="98">
        <f t="shared" si="0"/>
        <v>0</v>
      </c>
      <c r="G37" s="111" t="str">
        <f>IF(F37=0,"",F37)</f>
        <v/>
      </c>
      <c r="I37" s="76"/>
    </row>
    <row r="38" spans="1:9" x14ac:dyDescent="0.2">
      <c r="A38" s="105" t="s">
        <v>141</v>
      </c>
      <c r="B38" s="96" t="s">
        <v>124</v>
      </c>
      <c r="C38" s="179">
        <v>840.6</v>
      </c>
      <c r="D38" s="97">
        <v>8000</v>
      </c>
      <c r="E38" s="110"/>
      <c r="F38" s="98">
        <f t="shared" si="0"/>
        <v>0</v>
      </c>
      <c r="G38" s="111" t="str">
        <f>IF(F38=0,"",F38)</f>
        <v/>
      </c>
    </row>
    <row r="39" spans="1:9" x14ac:dyDescent="0.2">
      <c r="A39" s="105" t="s">
        <v>142</v>
      </c>
      <c r="B39" s="96" t="s">
        <v>124</v>
      </c>
      <c r="C39" s="179">
        <v>213.3</v>
      </c>
      <c r="D39" s="97">
        <v>8000</v>
      </c>
      <c r="E39" s="118"/>
      <c r="F39" s="98">
        <f t="shared" si="0"/>
        <v>0</v>
      </c>
      <c r="G39" s="111" t="str">
        <f>IF(F39=0,"",F39)</f>
        <v/>
      </c>
      <c r="I39" s="76"/>
    </row>
    <row r="40" spans="1:9" x14ac:dyDescent="0.2">
      <c r="A40" s="102" t="s">
        <v>143</v>
      </c>
      <c r="B40" s="116" t="s">
        <v>117</v>
      </c>
      <c r="C40" s="180" t="s">
        <v>117</v>
      </c>
      <c r="D40" s="116" t="s">
        <v>117</v>
      </c>
      <c r="E40" s="116" t="s">
        <v>117</v>
      </c>
      <c r="F40" s="101" t="s">
        <v>117</v>
      </c>
      <c r="G40" s="115" t="s">
        <v>117</v>
      </c>
      <c r="I40" s="76"/>
    </row>
    <row r="41" spans="1:9" x14ac:dyDescent="0.2">
      <c r="A41" s="105" t="s">
        <v>144</v>
      </c>
      <c r="B41" s="96" t="s">
        <v>124</v>
      </c>
      <c r="C41" s="179">
        <v>10.77</v>
      </c>
      <c r="D41" s="97">
        <v>8000</v>
      </c>
      <c r="E41" s="118"/>
      <c r="F41" s="98">
        <f t="shared" si="0"/>
        <v>0</v>
      </c>
      <c r="G41" s="111" t="str">
        <f t="shared" ref="G41:G48" si="3">IF(F41=0,"",F41)</f>
        <v/>
      </c>
      <c r="I41" s="76"/>
    </row>
    <row r="42" spans="1:9" x14ac:dyDescent="0.2">
      <c r="A42" s="105" t="s">
        <v>145</v>
      </c>
      <c r="B42" s="96" t="s">
        <v>124</v>
      </c>
      <c r="C42" s="179">
        <v>17.79</v>
      </c>
      <c r="D42" s="97">
        <v>8000</v>
      </c>
      <c r="E42" s="110"/>
      <c r="F42" s="98">
        <f t="shared" si="0"/>
        <v>0</v>
      </c>
      <c r="G42" s="111" t="str">
        <f t="shared" si="3"/>
        <v/>
      </c>
    </row>
    <row r="43" spans="1:9" x14ac:dyDescent="0.2">
      <c r="A43" s="105" t="s">
        <v>146</v>
      </c>
      <c r="B43" s="96" t="s">
        <v>124</v>
      </c>
      <c r="C43" s="179">
        <v>14.95</v>
      </c>
      <c r="D43" s="97">
        <v>8000</v>
      </c>
      <c r="E43" s="118"/>
      <c r="F43" s="98">
        <f t="shared" si="0"/>
        <v>0</v>
      </c>
      <c r="G43" s="111" t="str">
        <f t="shared" si="3"/>
        <v/>
      </c>
      <c r="I43" s="76"/>
    </row>
    <row r="44" spans="1:9" x14ac:dyDescent="0.2">
      <c r="A44" s="105" t="s">
        <v>147</v>
      </c>
      <c r="B44" s="96" t="s">
        <v>124</v>
      </c>
      <c r="C44" s="179">
        <v>14.95</v>
      </c>
      <c r="D44" s="97">
        <v>8000</v>
      </c>
      <c r="E44" s="118"/>
      <c r="F44" s="98">
        <f t="shared" si="0"/>
        <v>0</v>
      </c>
      <c r="G44" s="111" t="str">
        <f t="shared" si="3"/>
        <v/>
      </c>
      <c r="I44" s="76"/>
    </row>
    <row r="45" spans="1:9" x14ac:dyDescent="0.2">
      <c r="A45" s="105" t="s">
        <v>148</v>
      </c>
      <c r="B45" s="96" t="s">
        <v>124</v>
      </c>
      <c r="C45" s="179">
        <v>14.95</v>
      </c>
      <c r="D45" s="97">
        <v>8000</v>
      </c>
      <c r="E45" s="118"/>
      <c r="F45" s="98">
        <f t="shared" si="0"/>
        <v>0</v>
      </c>
      <c r="G45" s="111" t="str">
        <f t="shared" si="3"/>
        <v/>
      </c>
      <c r="I45" s="76"/>
    </row>
    <row r="46" spans="1:9" x14ac:dyDescent="0.2">
      <c r="A46" s="105" t="s">
        <v>202</v>
      </c>
      <c r="B46" s="96" t="s">
        <v>124</v>
      </c>
      <c r="C46" s="179">
        <v>14.95</v>
      </c>
      <c r="D46" s="97">
        <v>8000</v>
      </c>
      <c r="E46" s="118"/>
      <c r="F46" s="98">
        <f t="shared" si="0"/>
        <v>0</v>
      </c>
      <c r="G46" s="111" t="str">
        <f t="shared" si="3"/>
        <v/>
      </c>
      <c r="I46" s="76"/>
    </row>
    <row r="47" spans="1:9" x14ac:dyDescent="0.2">
      <c r="A47" s="102" t="s">
        <v>149</v>
      </c>
      <c r="B47" s="96" t="s">
        <v>124</v>
      </c>
      <c r="C47" s="179">
        <v>50</v>
      </c>
      <c r="D47" s="97">
        <v>8000</v>
      </c>
      <c r="E47" s="118"/>
      <c r="F47" s="98">
        <f t="shared" si="0"/>
        <v>0</v>
      </c>
      <c r="G47" s="111" t="str">
        <f t="shared" si="3"/>
        <v/>
      </c>
      <c r="I47" s="76"/>
    </row>
    <row r="48" spans="1:9" x14ac:dyDescent="0.2">
      <c r="A48" s="102" t="s">
        <v>168</v>
      </c>
      <c r="B48" s="96" t="s">
        <v>124</v>
      </c>
      <c r="C48" s="179">
        <v>160</v>
      </c>
      <c r="D48" s="97">
        <v>8000</v>
      </c>
      <c r="E48" s="118"/>
      <c r="F48" s="98">
        <f t="shared" si="0"/>
        <v>0</v>
      </c>
      <c r="G48" s="111" t="str">
        <f t="shared" si="3"/>
        <v/>
      </c>
      <c r="I48" s="76"/>
    </row>
    <row r="52" spans="1:7" ht="18" customHeight="1" x14ac:dyDescent="0.2">
      <c r="A52" s="74" t="s">
        <v>169</v>
      </c>
      <c r="G52" s="119">
        <f>SUM(G9:G18)</f>
        <v>0</v>
      </c>
    </row>
    <row r="53" spans="1:7" s="74" customFormat="1" ht="18" customHeight="1" x14ac:dyDescent="0.2">
      <c r="A53" s="77" t="s">
        <v>151</v>
      </c>
      <c r="B53" s="77"/>
      <c r="C53" s="77"/>
      <c r="D53" s="77"/>
      <c r="E53" s="77"/>
      <c r="F53" s="77"/>
      <c r="G53" s="78">
        <f>SUM(G15,G16:G17)</f>
        <v>0</v>
      </c>
    </row>
    <row r="54" spans="1:7" s="74" customFormat="1" ht="18" customHeight="1" x14ac:dyDescent="0.2">
      <c r="A54" s="77" t="s">
        <v>150</v>
      </c>
      <c r="B54" s="77"/>
      <c r="C54" s="77"/>
      <c r="D54" s="77"/>
      <c r="E54" s="77"/>
      <c r="F54" s="77"/>
      <c r="G54" s="78">
        <f>SUM(G20:G48)</f>
        <v>0</v>
      </c>
    </row>
    <row r="55" spans="1:7" s="74" customFormat="1" ht="18" customHeight="1" x14ac:dyDescent="0.2">
      <c r="A55" s="89" t="s">
        <v>152</v>
      </c>
      <c r="B55" s="77"/>
      <c r="C55" s="77"/>
      <c r="D55" s="77"/>
      <c r="E55" s="77"/>
      <c r="F55" s="77"/>
      <c r="G55" s="78">
        <f>G52+G54</f>
        <v>0</v>
      </c>
    </row>
    <row r="56" spans="1:7" s="74" customFormat="1" ht="18" customHeight="1" x14ac:dyDescent="0.2">
      <c r="A56" s="75"/>
      <c r="B56" s="77"/>
      <c r="C56" s="77"/>
      <c r="D56" s="77"/>
      <c r="E56" s="77"/>
      <c r="F56" s="77"/>
      <c r="G56" s="78"/>
    </row>
    <row r="57" spans="1:7" s="74" customFormat="1" ht="18" customHeight="1" x14ac:dyDescent="0.2">
      <c r="A57" s="75" t="s">
        <v>153</v>
      </c>
      <c r="B57" s="77"/>
      <c r="C57" s="78">
        <f>IFERROR(K9,0)</f>
        <v>0</v>
      </c>
      <c r="D57" s="77"/>
      <c r="E57" s="77"/>
      <c r="F57" s="77"/>
      <c r="G57" s="78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5" t="s">
        <v>154</v>
      </c>
      <c r="B59" s="175" t="str">
        <f>IF(K10=0,"nie je vyplnená tabuľka",K14)</f>
        <v>nie je vyplnená tabuľka</v>
      </c>
      <c r="C59" s="175"/>
      <c r="D59" s="175"/>
      <c r="E59" s="175"/>
      <c r="F59" s="175"/>
      <c r="G59" s="175"/>
    </row>
    <row r="60" spans="1:7" x14ac:dyDescent="0.2">
      <c r="A60" s="75"/>
      <c r="B60" s="174"/>
      <c r="C60" s="174"/>
    </row>
  </sheetData>
  <sheetProtection algorithmName="SHA-512" hashValue="czdhuDo7+K1tInM4fOYxKdRvzBnXe39qX1M0z63lFuAwaUEqEiS1KVr9K5/CnRgGs/KOIqPY4EpBmR5W5sidng==" saltValue="Ln0BLJ8YDb0r5dEpJnrU+w==" spinCount="100000" sheet="1" objects="1" scenarios="1"/>
  <mergeCells count="3">
    <mergeCell ref="B60:C60"/>
    <mergeCell ref="B59:G59"/>
    <mergeCell ref="B4:G4"/>
  </mergeCells>
  <conditionalFormatting sqref="B60">
    <cfRule type="cellIs" dxfId="14" priority="4" operator="equal">
      <formula>"prekročenie štandardného výstupu - nesplnenie podmienok"</formula>
    </cfRule>
    <cfRule type="cellIs" dxfId="13" priority="5" operator="equal">
      <formula>"nedosiahnutie štandardného výstupu - nesplnenie podmienok"</formula>
    </cfRule>
    <cfRule type="cellIs" dxfId="12" priority="6" operator="equal">
      <formula>"nie je vyplnená tabuľka"</formula>
    </cfRule>
  </conditionalFormatting>
  <conditionalFormatting sqref="B59">
    <cfRule type="cellIs" dxfId="11" priority="1" operator="equal">
      <formula>"nie je vyplnená tabuľka"</formula>
    </cfRule>
    <cfRule type="cellIs" dxfId="10" priority="2" operator="equal">
      <formula>"prekročenie štandardného výstupu - nesplnenie podmienok"</formula>
    </cfRule>
    <cfRule type="cellIs" dxfId="9" priority="3" operator="equal">
      <formula>"nedosiahnutie štandardného výstupu - nesplnenie podmienok"</formula>
    </cfRule>
  </conditionalFormatting>
  <dataValidations count="3">
    <dataValidation type="whole" allowBlank="1" showInputMessage="1" showErrorMessage="1" prompt="celé číslo" sqref="E41:E43 E34:E35 E37:E39 E22:E28 E30:E32 E20">
      <formula1>0</formula1>
      <formula2>10000000</formula2>
    </dataValidation>
    <dataValidation type="whole" allowBlank="1" showInputMessage="1" showErrorMessage="1" prompt="celé číslo" sqref="E44:E48">
      <formula1>0</formula1>
      <formula2>100000000</formula2>
    </dataValidation>
    <dataValidation allowBlank="1" showInputMessage="1" showErrorMessage="1" prompt="celé číslo" sqref="E49"/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88" orientation="portrait" r:id="rId1"/>
  <ignoredErrors>
    <ignoredError sqref="G49 G29 G33 G36 G40 G21 G16 G13" calculatedColum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6.1</vt:lpstr>
      <vt:lpstr>Nezamestanosť</vt:lpstr>
      <vt:lpstr>štandardný výstup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2015-11-25T12:25:05Z</cp:lastPrinted>
  <dcterms:created xsi:type="dcterms:W3CDTF">2015-06-24T06:51:40Z</dcterms:created>
  <dcterms:modified xsi:type="dcterms:W3CDTF">2015-11-25T12:31:33Z</dcterms:modified>
</cp:coreProperties>
</file>