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ukac\Documents\Lepsie data SAS\"/>
    </mc:Choice>
  </mc:AlternateContent>
  <bookViews>
    <workbookView xWindow="0" yWindow="0" windowWidth="25635" windowHeight="15795" tabRatio="838" activeTab="1"/>
  </bookViews>
  <sheets>
    <sheet name="Úvod" sheetId="5" r:id="rId1"/>
    <sheet name="Zoznam hárkov" sheetId="25" r:id="rId2"/>
    <sheet name="Sumarizácia" sheetId="20" r:id="rId3"/>
    <sheet name="CBA - Agendové IS" sheetId="2" r:id="rId4"/>
    <sheet name="Analyza citlivosti - AgendovéIS" sheetId="7" r:id="rId5"/>
    <sheet name="Prínosy - Agendové IS" sheetId="4" r:id="rId6"/>
    <sheet name="Výdavky - Agendové IS" sheetId="6" r:id="rId7"/>
    <sheet name="Parametre - Agendové IS" sheetId="3" r:id="rId8"/>
    <sheet name="TCO" sheetId="11" r:id="rId9"/>
    <sheet name="TCO AS IS - SW" sheetId="17" r:id="rId10"/>
    <sheet name="TCO AS IS - HW" sheetId="18" r:id="rId11"/>
    <sheet name="TCO TO BE- SW" sheetId="9" r:id="rId12"/>
    <sheet name="TCO TO BE - HW" sheetId="10" r:id="rId13"/>
    <sheet name="Rozpočet - vývoj Aplikácií" sheetId="19" r:id="rId14"/>
    <sheet name="Rozpočet - HW a licencie" sheetId="27" r:id="rId15"/>
    <sheet name="Slepý rozpočet" sheetId="26" r:id="rId16"/>
    <sheet name="Faktory" sheetId="1" r:id="rId17"/>
    <sheet name="Procesné mapy" sheetId="22" r:id="rId18"/>
    <sheet name="Procesy - AS IS" sheetId="23" r:id="rId19"/>
    <sheet name="Procesy - TO BE" sheetId="24" r:id="rId20"/>
    <sheet name="Rozdelenie prínosov" sheetId="14" r:id="rId21"/>
  </sheets>
  <externalReferences>
    <externalReference r:id="rId22"/>
  </externalReferences>
  <definedNames>
    <definedName name="Aktivity">[1]Ciselniky!$H$2:$H$8</definedName>
    <definedName name="Pozicie">[1]Ciselniky!$B$3:$B$27</definedName>
  </definedNames>
  <calcPr calcId="162913" concurrentCalc="0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W127" i="3" l="1"/>
  <c r="H127" i="3"/>
  <c r="K127" i="3"/>
  <c r="N127" i="3"/>
  <c r="E127" i="3"/>
  <c r="L4" i="4"/>
  <c r="AW67" i="3"/>
  <c r="H67" i="3"/>
  <c r="G67" i="3"/>
  <c r="I67" i="3"/>
  <c r="AW46" i="3"/>
  <c r="H97" i="3"/>
  <c r="K67" i="3"/>
  <c r="J67" i="3"/>
  <c r="L67" i="3"/>
  <c r="K97" i="3"/>
  <c r="N67" i="3"/>
  <c r="M67" i="3"/>
  <c r="O67" i="3"/>
  <c r="N97" i="3"/>
  <c r="E97" i="3"/>
  <c r="I4" i="4"/>
  <c r="AW36" i="3"/>
  <c r="D8" i="1"/>
  <c r="H77" i="3"/>
  <c r="K77" i="3"/>
  <c r="N77" i="3"/>
  <c r="E77" i="3"/>
  <c r="O4" i="4"/>
  <c r="U4" i="4"/>
  <c r="W5" i="6"/>
  <c r="E4" i="10"/>
  <c r="E14" i="10"/>
  <c r="E24" i="10"/>
  <c r="D12" i="11"/>
  <c r="F35" i="10"/>
  <c r="E35" i="10"/>
  <c r="E45" i="10"/>
  <c r="E55" i="10"/>
  <c r="E65" i="10"/>
  <c r="E75" i="10"/>
  <c r="D13" i="11"/>
  <c r="C4" i="6"/>
  <c r="F5" i="9"/>
  <c r="E5" i="9"/>
  <c r="F15" i="9"/>
  <c r="E15" i="9"/>
  <c r="D7" i="11"/>
  <c r="E58" i="9"/>
  <c r="F68" i="9"/>
  <c r="E68" i="9"/>
  <c r="D8" i="11"/>
  <c r="F4" i="6"/>
  <c r="E26" i="9"/>
  <c r="E36" i="9"/>
  <c r="E46" i="9"/>
  <c r="D9" i="11"/>
  <c r="E79" i="9"/>
  <c r="F89" i="9"/>
  <c r="E89" i="9"/>
  <c r="F99" i="9"/>
  <c r="E99" i="9"/>
  <c r="E109" i="9"/>
  <c r="F119" i="9"/>
  <c r="E119" i="9"/>
  <c r="D10" i="11"/>
  <c r="I4" i="6"/>
  <c r="W4" i="6"/>
  <c r="E151" i="9"/>
  <c r="E161" i="9"/>
  <c r="D11" i="11"/>
  <c r="L4" i="6"/>
  <c r="F130" i="9"/>
  <c r="E130" i="9"/>
  <c r="E140" i="9"/>
  <c r="D14" i="11"/>
  <c r="O4" i="6"/>
  <c r="H107" i="3"/>
  <c r="K107" i="3"/>
  <c r="N107" i="3"/>
  <c r="E107" i="3"/>
  <c r="R4" i="6"/>
  <c r="U4" i="6"/>
  <c r="F4" i="2"/>
  <c r="G127" i="3"/>
  <c r="J127" i="3"/>
  <c r="M127" i="3"/>
  <c r="D127" i="3"/>
  <c r="K4" i="4"/>
  <c r="G77" i="3"/>
  <c r="J77" i="3"/>
  <c r="M77" i="3"/>
  <c r="D77" i="3"/>
  <c r="N4" i="4"/>
  <c r="T4" i="4"/>
  <c r="D27" i="11"/>
  <c r="B4" i="6"/>
  <c r="E5" i="17"/>
  <c r="D23" i="11"/>
  <c r="E4" i="6"/>
  <c r="D25" i="11"/>
  <c r="H4" i="6"/>
  <c r="G107" i="3"/>
  <c r="J107" i="3"/>
  <c r="M107" i="3"/>
  <c r="D107" i="3"/>
  <c r="Q4" i="6"/>
  <c r="T4" i="6"/>
  <c r="E4" i="2"/>
  <c r="G4" i="2"/>
  <c r="AE15" i="19"/>
  <c r="AE12" i="19"/>
  <c r="AE11" i="19"/>
  <c r="AE10" i="19"/>
  <c r="AE9" i="19"/>
  <c r="AE8" i="19"/>
  <c r="AE7" i="19"/>
  <c r="AE6" i="19"/>
  <c r="AE5" i="19"/>
  <c r="F37" i="10"/>
  <c r="F36" i="10"/>
  <c r="F132" i="9"/>
  <c r="F131" i="9"/>
  <c r="F101" i="9"/>
  <c r="F100" i="9"/>
  <c r="F91" i="9"/>
  <c r="F90" i="9"/>
  <c r="F60" i="9"/>
  <c r="F59" i="9"/>
  <c r="E7" i="17"/>
  <c r="E6" i="17"/>
  <c r="H128" i="3"/>
  <c r="K128" i="3"/>
  <c r="N128" i="3"/>
  <c r="E128" i="3"/>
  <c r="L5" i="4"/>
  <c r="H68" i="3"/>
  <c r="G68" i="3"/>
  <c r="I68" i="3"/>
  <c r="H98" i="3"/>
  <c r="K68" i="3"/>
  <c r="J68" i="3"/>
  <c r="L68" i="3"/>
  <c r="K98" i="3"/>
  <c r="N7" i="3"/>
  <c r="N68" i="3"/>
  <c r="M7" i="3"/>
  <c r="M68" i="3"/>
  <c r="O68" i="3"/>
  <c r="N98" i="3"/>
  <c r="E98" i="3"/>
  <c r="I5" i="4"/>
  <c r="H78" i="3"/>
  <c r="K78" i="3"/>
  <c r="N78" i="3"/>
  <c r="E78" i="3"/>
  <c r="O5" i="4"/>
  <c r="U5" i="4"/>
  <c r="E36" i="10"/>
  <c r="E46" i="10"/>
  <c r="E56" i="10"/>
  <c r="E66" i="10"/>
  <c r="E76" i="10"/>
  <c r="E13" i="11"/>
  <c r="E5" i="10"/>
  <c r="E15" i="10"/>
  <c r="E25" i="10"/>
  <c r="E12" i="11"/>
  <c r="C5" i="6"/>
  <c r="E59" i="9"/>
  <c r="E69" i="9"/>
  <c r="E8" i="11"/>
  <c r="E6" i="9"/>
  <c r="E16" i="9"/>
  <c r="E7" i="11"/>
  <c r="F5" i="6"/>
  <c r="E90" i="9"/>
  <c r="E100" i="9"/>
  <c r="E80" i="9"/>
  <c r="E110" i="9"/>
  <c r="E120" i="9"/>
  <c r="E10" i="11"/>
  <c r="E27" i="9"/>
  <c r="E37" i="9"/>
  <c r="E47" i="9"/>
  <c r="E9" i="11"/>
  <c r="I5" i="6"/>
  <c r="E131" i="9"/>
  <c r="E141" i="9"/>
  <c r="E14" i="11"/>
  <c r="O5" i="6"/>
  <c r="E152" i="9"/>
  <c r="E162" i="9"/>
  <c r="E11" i="11"/>
  <c r="L5" i="6"/>
  <c r="H108" i="3"/>
  <c r="K108" i="3"/>
  <c r="N108" i="3"/>
  <c r="E108" i="3"/>
  <c r="R5" i="6"/>
  <c r="U5" i="6"/>
  <c r="F5" i="2"/>
  <c r="E23" i="11"/>
  <c r="E5" i="6"/>
  <c r="E27" i="11"/>
  <c r="B5" i="6"/>
  <c r="E25" i="11"/>
  <c r="H5" i="6"/>
  <c r="G108" i="3"/>
  <c r="J108" i="3"/>
  <c r="M108" i="3"/>
  <c r="D108" i="3"/>
  <c r="Q5" i="6"/>
  <c r="T5" i="6"/>
  <c r="G128" i="3"/>
  <c r="J128" i="3"/>
  <c r="M128" i="3"/>
  <c r="D128" i="3"/>
  <c r="K5" i="4"/>
  <c r="G78" i="3"/>
  <c r="J78" i="3"/>
  <c r="M78" i="3"/>
  <c r="D78" i="3"/>
  <c r="N5" i="4"/>
  <c r="T5" i="4"/>
  <c r="E5" i="2"/>
  <c r="G5" i="2"/>
  <c r="H129" i="3"/>
  <c r="K129" i="3"/>
  <c r="N129" i="3"/>
  <c r="E129" i="3"/>
  <c r="L6" i="4"/>
  <c r="H69" i="3"/>
  <c r="G69" i="3"/>
  <c r="I69" i="3"/>
  <c r="H99" i="3"/>
  <c r="K69" i="3"/>
  <c r="J69" i="3"/>
  <c r="L69" i="3"/>
  <c r="K99" i="3"/>
  <c r="N8" i="3"/>
  <c r="N69" i="3"/>
  <c r="M8" i="3"/>
  <c r="M69" i="3"/>
  <c r="O69" i="3"/>
  <c r="N99" i="3"/>
  <c r="E99" i="3"/>
  <c r="I6" i="4"/>
  <c r="H79" i="3"/>
  <c r="K79" i="3"/>
  <c r="N79" i="3"/>
  <c r="E79" i="3"/>
  <c r="O6" i="4"/>
  <c r="U6" i="4"/>
  <c r="E37" i="10"/>
  <c r="E47" i="10"/>
  <c r="E57" i="10"/>
  <c r="E67" i="10"/>
  <c r="E77" i="10"/>
  <c r="F13" i="11"/>
  <c r="E6" i="10"/>
  <c r="E16" i="10"/>
  <c r="E26" i="10"/>
  <c r="F12" i="11"/>
  <c r="C6" i="6"/>
  <c r="E60" i="9"/>
  <c r="E70" i="9"/>
  <c r="F8" i="11"/>
  <c r="E7" i="9"/>
  <c r="E17" i="9"/>
  <c r="F7" i="11"/>
  <c r="F6" i="6"/>
  <c r="E91" i="9"/>
  <c r="E101" i="9"/>
  <c r="E81" i="9"/>
  <c r="E111" i="9"/>
  <c r="E121" i="9"/>
  <c r="F10" i="11"/>
  <c r="E28" i="9"/>
  <c r="E38" i="9"/>
  <c r="E48" i="9"/>
  <c r="F9" i="11"/>
  <c r="I6" i="6"/>
  <c r="E132" i="9"/>
  <c r="E142" i="9"/>
  <c r="F14" i="11"/>
  <c r="O6" i="6"/>
  <c r="E153" i="9"/>
  <c r="E163" i="9"/>
  <c r="F11" i="11"/>
  <c r="L6" i="6"/>
  <c r="H109" i="3"/>
  <c r="K109" i="3"/>
  <c r="N109" i="3"/>
  <c r="E109" i="3"/>
  <c r="R6" i="6"/>
  <c r="U6" i="6"/>
  <c r="F6" i="2"/>
  <c r="F23" i="11"/>
  <c r="E6" i="6"/>
  <c r="F27" i="11"/>
  <c r="B6" i="6"/>
  <c r="F25" i="11"/>
  <c r="H6" i="6"/>
  <c r="G109" i="3"/>
  <c r="J109" i="3"/>
  <c r="M109" i="3"/>
  <c r="D109" i="3"/>
  <c r="Q6" i="6"/>
  <c r="T6" i="6"/>
  <c r="G129" i="3"/>
  <c r="J129" i="3"/>
  <c r="M129" i="3"/>
  <c r="D129" i="3"/>
  <c r="K6" i="4"/>
  <c r="G79" i="3"/>
  <c r="J79" i="3"/>
  <c r="M79" i="3"/>
  <c r="D79" i="3"/>
  <c r="N6" i="4"/>
  <c r="T6" i="4"/>
  <c r="E6" i="2"/>
  <c r="G6" i="2"/>
  <c r="H130" i="3"/>
  <c r="K130" i="3"/>
  <c r="N130" i="3"/>
  <c r="E130" i="3"/>
  <c r="L7" i="4"/>
  <c r="H70" i="3"/>
  <c r="G70" i="3"/>
  <c r="I70" i="3"/>
  <c r="H100" i="3"/>
  <c r="K70" i="3"/>
  <c r="J70" i="3"/>
  <c r="L70" i="3"/>
  <c r="K100" i="3"/>
  <c r="N70" i="3"/>
  <c r="M70" i="3"/>
  <c r="O70" i="3"/>
  <c r="N100" i="3"/>
  <c r="E100" i="3"/>
  <c r="I7" i="4"/>
  <c r="H80" i="3"/>
  <c r="K80" i="3"/>
  <c r="N80" i="3"/>
  <c r="E80" i="3"/>
  <c r="O7" i="4"/>
  <c r="U7" i="4"/>
  <c r="E38" i="10"/>
  <c r="E48" i="10"/>
  <c r="E58" i="10"/>
  <c r="E68" i="10"/>
  <c r="E78" i="10"/>
  <c r="G13" i="11"/>
  <c r="E7" i="10"/>
  <c r="E17" i="10"/>
  <c r="E27" i="10"/>
  <c r="G12" i="11"/>
  <c r="C7" i="6"/>
  <c r="E61" i="9"/>
  <c r="E71" i="9"/>
  <c r="G8" i="11"/>
  <c r="E8" i="9"/>
  <c r="E18" i="9"/>
  <c r="G7" i="11"/>
  <c r="F7" i="6"/>
  <c r="E92" i="9"/>
  <c r="E102" i="9"/>
  <c r="E82" i="9"/>
  <c r="E112" i="9"/>
  <c r="E122" i="9"/>
  <c r="G10" i="11"/>
  <c r="E29" i="9"/>
  <c r="E39" i="9"/>
  <c r="E49" i="9"/>
  <c r="G9" i="11"/>
  <c r="I7" i="6"/>
  <c r="H110" i="3"/>
  <c r="K110" i="3"/>
  <c r="N110" i="3"/>
  <c r="E110" i="3"/>
  <c r="R7" i="6"/>
  <c r="E154" i="9"/>
  <c r="E164" i="9"/>
  <c r="G11" i="11"/>
  <c r="L7" i="6"/>
  <c r="E133" i="9"/>
  <c r="E143" i="9"/>
  <c r="G14" i="11"/>
  <c r="O7" i="6"/>
  <c r="U7" i="6"/>
  <c r="F7" i="2"/>
  <c r="G23" i="11"/>
  <c r="E7" i="6"/>
  <c r="G110" i="3"/>
  <c r="J110" i="3"/>
  <c r="M110" i="3"/>
  <c r="D110" i="3"/>
  <c r="Q7" i="6"/>
  <c r="G27" i="11"/>
  <c r="B7" i="6"/>
  <c r="G25" i="11"/>
  <c r="H7" i="6"/>
  <c r="T7" i="6"/>
  <c r="G80" i="3"/>
  <c r="J80" i="3"/>
  <c r="M80" i="3"/>
  <c r="D80" i="3"/>
  <c r="N7" i="4"/>
  <c r="G130" i="3"/>
  <c r="J130" i="3"/>
  <c r="M130" i="3"/>
  <c r="D130" i="3"/>
  <c r="K7" i="4"/>
  <c r="T7" i="4"/>
  <c r="E7" i="2"/>
  <c r="G7" i="2"/>
  <c r="H131" i="3"/>
  <c r="K131" i="3"/>
  <c r="N131" i="3"/>
  <c r="E131" i="3"/>
  <c r="L8" i="4"/>
  <c r="H71" i="3"/>
  <c r="G71" i="3"/>
  <c r="I71" i="3"/>
  <c r="H101" i="3"/>
  <c r="K71" i="3"/>
  <c r="J71" i="3"/>
  <c r="L71" i="3"/>
  <c r="K101" i="3"/>
  <c r="N71" i="3"/>
  <c r="M71" i="3"/>
  <c r="O71" i="3"/>
  <c r="N101" i="3"/>
  <c r="E101" i="3"/>
  <c r="I8" i="4"/>
  <c r="H81" i="3"/>
  <c r="K81" i="3"/>
  <c r="N81" i="3"/>
  <c r="E81" i="3"/>
  <c r="O8" i="4"/>
  <c r="U8" i="4"/>
  <c r="E39" i="10"/>
  <c r="E49" i="10"/>
  <c r="E59" i="10"/>
  <c r="E69" i="10"/>
  <c r="E79" i="10"/>
  <c r="H13" i="11"/>
  <c r="E8" i="10"/>
  <c r="E18" i="10"/>
  <c r="E28" i="10"/>
  <c r="H12" i="11"/>
  <c r="C8" i="6"/>
  <c r="E62" i="9"/>
  <c r="E72" i="9"/>
  <c r="H8" i="11"/>
  <c r="E9" i="9"/>
  <c r="E19" i="9"/>
  <c r="H7" i="11"/>
  <c r="F8" i="6"/>
  <c r="E93" i="9"/>
  <c r="E103" i="9"/>
  <c r="E83" i="9"/>
  <c r="E113" i="9"/>
  <c r="E123" i="9"/>
  <c r="H10" i="11"/>
  <c r="E30" i="9"/>
  <c r="E40" i="9"/>
  <c r="E50" i="9"/>
  <c r="H9" i="11"/>
  <c r="I8" i="6"/>
  <c r="H111" i="3"/>
  <c r="K111" i="3"/>
  <c r="N111" i="3"/>
  <c r="E111" i="3"/>
  <c r="R8" i="6"/>
  <c r="E155" i="9"/>
  <c r="E165" i="9"/>
  <c r="H11" i="11"/>
  <c r="L8" i="6"/>
  <c r="E134" i="9"/>
  <c r="E144" i="9"/>
  <c r="H14" i="11"/>
  <c r="O8" i="6"/>
  <c r="U8" i="6"/>
  <c r="F8" i="2"/>
  <c r="H23" i="11"/>
  <c r="E8" i="6"/>
  <c r="G111" i="3"/>
  <c r="J111" i="3"/>
  <c r="M111" i="3"/>
  <c r="D111" i="3"/>
  <c r="Q8" i="6"/>
  <c r="H27" i="11"/>
  <c r="B8" i="6"/>
  <c r="H25" i="11"/>
  <c r="H8" i="6"/>
  <c r="T8" i="6"/>
  <c r="G81" i="3"/>
  <c r="J81" i="3"/>
  <c r="M81" i="3"/>
  <c r="D81" i="3"/>
  <c r="N8" i="4"/>
  <c r="G131" i="3"/>
  <c r="J131" i="3"/>
  <c r="M131" i="3"/>
  <c r="D131" i="3"/>
  <c r="K8" i="4"/>
  <c r="T8" i="4"/>
  <c r="E8" i="2"/>
  <c r="G8" i="2"/>
  <c r="H132" i="3"/>
  <c r="K132" i="3"/>
  <c r="N132" i="3"/>
  <c r="E132" i="3"/>
  <c r="L9" i="4"/>
  <c r="H72" i="3"/>
  <c r="G72" i="3"/>
  <c r="I72" i="3"/>
  <c r="H102" i="3"/>
  <c r="K72" i="3"/>
  <c r="J72" i="3"/>
  <c r="L72" i="3"/>
  <c r="K102" i="3"/>
  <c r="N72" i="3"/>
  <c r="M72" i="3"/>
  <c r="O72" i="3"/>
  <c r="N102" i="3"/>
  <c r="E102" i="3"/>
  <c r="I9" i="4"/>
  <c r="H82" i="3"/>
  <c r="K82" i="3"/>
  <c r="N82" i="3"/>
  <c r="E82" i="3"/>
  <c r="O9" i="4"/>
  <c r="U9" i="4"/>
  <c r="E40" i="10"/>
  <c r="E50" i="10"/>
  <c r="E60" i="10"/>
  <c r="E70" i="10"/>
  <c r="E80" i="10"/>
  <c r="I13" i="11"/>
  <c r="E9" i="10"/>
  <c r="E19" i="10"/>
  <c r="E29" i="10"/>
  <c r="I12" i="11"/>
  <c r="C9" i="6"/>
  <c r="E63" i="9"/>
  <c r="E73" i="9"/>
  <c r="I8" i="11"/>
  <c r="E10" i="9"/>
  <c r="E20" i="9"/>
  <c r="I7" i="11"/>
  <c r="F9" i="6"/>
  <c r="E94" i="9"/>
  <c r="E104" i="9"/>
  <c r="E84" i="9"/>
  <c r="E114" i="9"/>
  <c r="E124" i="9"/>
  <c r="I10" i="11"/>
  <c r="E31" i="9"/>
  <c r="E41" i="9"/>
  <c r="E51" i="9"/>
  <c r="I9" i="11"/>
  <c r="I9" i="6"/>
  <c r="H112" i="3"/>
  <c r="K112" i="3"/>
  <c r="N112" i="3"/>
  <c r="E112" i="3"/>
  <c r="R9" i="6"/>
  <c r="E156" i="9"/>
  <c r="E166" i="9"/>
  <c r="I11" i="11"/>
  <c r="L9" i="6"/>
  <c r="E135" i="9"/>
  <c r="E145" i="9"/>
  <c r="I14" i="11"/>
  <c r="O9" i="6"/>
  <c r="U9" i="6"/>
  <c r="F9" i="2"/>
  <c r="I23" i="11"/>
  <c r="E9" i="6"/>
  <c r="G112" i="3"/>
  <c r="J112" i="3"/>
  <c r="M112" i="3"/>
  <c r="D112" i="3"/>
  <c r="Q9" i="6"/>
  <c r="I27" i="11"/>
  <c r="B9" i="6"/>
  <c r="I25" i="11"/>
  <c r="H9" i="6"/>
  <c r="T9" i="6"/>
  <c r="G82" i="3"/>
  <c r="J82" i="3"/>
  <c r="M82" i="3"/>
  <c r="D82" i="3"/>
  <c r="N9" i="4"/>
  <c r="G132" i="3"/>
  <c r="J132" i="3"/>
  <c r="M132" i="3"/>
  <c r="D132" i="3"/>
  <c r="K9" i="4"/>
  <c r="T9" i="4"/>
  <c r="E9" i="2"/>
  <c r="G9" i="2"/>
  <c r="H133" i="3"/>
  <c r="K133" i="3"/>
  <c r="N133" i="3"/>
  <c r="E133" i="3"/>
  <c r="L10" i="4"/>
  <c r="H73" i="3"/>
  <c r="G73" i="3"/>
  <c r="I73" i="3"/>
  <c r="H103" i="3"/>
  <c r="K73" i="3"/>
  <c r="J73" i="3"/>
  <c r="L73" i="3"/>
  <c r="K103" i="3"/>
  <c r="N73" i="3"/>
  <c r="M73" i="3"/>
  <c r="O73" i="3"/>
  <c r="N103" i="3"/>
  <c r="E103" i="3"/>
  <c r="I10" i="4"/>
  <c r="H83" i="3"/>
  <c r="K83" i="3"/>
  <c r="N83" i="3"/>
  <c r="E83" i="3"/>
  <c r="O10" i="4"/>
  <c r="U10" i="4"/>
  <c r="E41" i="10"/>
  <c r="E51" i="10"/>
  <c r="E61" i="10"/>
  <c r="E71" i="10"/>
  <c r="E81" i="10"/>
  <c r="J13" i="11"/>
  <c r="E10" i="10"/>
  <c r="E20" i="10"/>
  <c r="E30" i="10"/>
  <c r="J12" i="11"/>
  <c r="C10" i="6"/>
  <c r="E64" i="9"/>
  <c r="E74" i="9"/>
  <c r="J8" i="11"/>
  <c r="E11" i="9"/>
  <c r="E21" i="9"/>
  <c r="J7" i="11"/>
  <c r="F10" i="6"/>
  <c r="E95" i="9"/>
  <c r="E105" i="9"/>
  <c r="E85" i="9"/>
  <c r="E115" i="9"/>
  <c r="E125" i="9"/>
  <c r="J10" i="11"/>
  <c r="E32" i="9"/>
  <c r="E42" i="9"/>
  <c r="E52" i="9"/>
  <c r="J9" i="11"/>
  <c r="I10" i="6"/>
  <c r="H113" i="3"/>
  <c r="K113" i="3"/>
  <c r="N113" i="3"/>
  <c r="E113" i="3"/>
  <c r="R10" i="6"/>
  <c r="E157" i="9"/>
  <c r="E167" i="9"/>
  <c r="J11" i="11"/>
  <c r="L10" i="6"/>
  <c r="E136" i="9"/>
  <c r="E146" i="9"/>
  <c r="J14" i="11"/>
  <c r="O10" i="6"/>
  <c r="U10" i="6"/>
  <c r="F10" i="2"/>
  <c r="J23" i="11"/>
  <c r="E10" i="6"/>
  <c r="G113" i="3"/>
  <c r="J113" i="3"/>
  <c r="M113" i="3"/>
  <c r="D113" i="3"/>
  <c r="Q10" i="6"/>
  <c r="J27" i="11"/>
  <c r="B10" i="6"/>
  <c r="J25" i="11"/>
  <c r="H10" i="6"/>
  <c r="T10" i="6"/>
  <c r="G83" i="3"/>
  <c r="J83" i="3"/>
  <c r="M83" i="3"/>
  <c r="D83" i="3"/>
  <c r="N10" i="4"/>
  <c r="G133" i="3"/>
  <c r="J133" i="3"/>
  <c r="M133" i="3"/>
  <c r="D133" i="3"/>
  <c r="K10" i="4"/>
  <c r="T10" i="4"/>
  <c r="E10" i="2"/>
  <c r="G10" i="2"/>
  <c r="H134" i="3"/>
  <c r="K134" i="3"/>
  <c r="N134" i="3"/>
  <c r="E134" i="3"/>
  <c r="L11" i="4"/>
  <c r="H74" i="3"/>
  <c r="G74" i="3"/>
  <c r="I74" i="3"/>
  <c r="H104" i="3"/>
  <c r="K74" i="3"/>
  <c r="J74" i="3"/>
  <c r="L74" i="3"/>
  <c r="K104" i="3"/>
  <c r="N74" i="3"/>
  <c r="M74" i="3"/>
  <c r="O74" i="3"/>
  <c r="N104" i="3"/>
  <c r="E104" i="3"/>
  <c r="I11" i="4"/>
  <c r="H84" i="3"/>
  <c r="K84" i="3"/>
  <c r="N84" i="3"/>
  <c r="E84" i="3"/>
  <c r="O11" i="4"/>
  <c r="U11" i="4"/>
  <c r="E42" i="10"/>
  <c r="E52" i="10"/>
  <c r="E62" i="10"/>
  <c r="E72" i="10"/>
  <c r="E82" i="10"/>
  <c r="K13" i="11"/>
  <c r="E11" i="10"/>
  <c r="E21" i="10"/>
  <c r="E31" i="10"/>
  <c r="K12" i="11"/>
  <c r="C11" i="6"/>
  <c r="E65" i="9"/>
  <c r="E75" i="9"/>
  <c r="K8" i="11"/>
  <c r="E12" i="9"/>
  <c r="E22" i="9"/>
  <c r="K7" i="11"/>
  <c r="F11" i="6"/>
  <c r="E96" i="9"/>
  <c r="E106" i="9"/>
  <c r="E86" i="9"/>
  <c r="E116" i="9"/>
  <c r="E126" i="9"/>
  <c r="K10" i="11"/>
  <c r="E33" i="9"/>
  <c r="E43" i="9"/>
  <c r="E53" i="9"/>
  <c r="K9" i="11"/>
  <c r="I11" i="6"/>
  <c r="H114" i="3"/>
  <c r="K114" i="3"/>
  <c r="N114" i="3"/>
  <c r="E114" i="3"/>
  <c r="R11" i="6"/>
  <c r="E158" i="9"/>
  <c r="E168" i="9"/>
  <c r="K11" i="11"/>
  <c r="L11" i="6"/>
  <c r="E137" i="9"/>
  <c r="E147" i="9"/>
  <c r="K14" i="11"/>
  <c r="O11" i="6"/>
  <c r="U11" i="6"/>
  <c r="F11" i="2"/>
  <c r="K23" i="11"/>
  <c r="E11" i="6"/>
  <c r="G114" i="3"/>
  <c r="J114" i="3"/>
  <c r="M114" i="3"/>
  <c r="D114" i="3"/>
  <c r="Q11" i="6"/>
  <c r="K27" i="11"/>
  <c r="B11" i="6"/>
  <c r="K25" i="11"/>
  <c r="H11" i="6"/>
  <c r="T11" i="6"/>
  <c r="G84" i="3"/>
  <c r="J84" i="3"/>
  <c r="M84" i="3"/>
  <c r="D84" i="3"/>
  <c r="N11" i="4"/>
  <c r="G134" i="3"/>
  <c r="J134" i="3"/>
  <c r="M134" i="3"/>
  <c r="D134" i="3"/>
  <c r="K11" i="4"/>
  <c r="T11" i="4"/>
  <c r="E11" i="2"/>
  <c r="G11" i="2"/>
  <c r="H135" i="3"/>
  <c r="K135" i="3"/>
  <c r="N135" i="3"/>
  <c r="E135" i="3"/>
  <c r="L12" i="4"/>
  <c r="H75" i="3"/>
  <c r="G75" i="3"/>
  <c r="I75" i="3"/>
  <c r="H105" i="3"/>
  <c r="K75" i="3"/>
  <c r="J75" i="3"/>
  <c r="L75" i="3"/>
  <c r="K105" i="3"/>
  <c r="N75" i="3"/>
  <c r="M75" i="3"/>
  <c r="O75" i="3"/>
  <c r="N105" i="3"/>
  <c r="E105" i="3"/>
  <c r="I12" i="4"/>
  <c r="H85" i="3"/>
  <c r="K85" i="3"/>
  <c r="N85" i="3"/>
  <c r="E85" i="3"/>
  <c r="O12" i="4"/>
  <c r="U12" i="4"/>
  <c r="E43" i="10"/>
  <c r="E53" i="10"/>
  <c r="E63" i="10"/>
  <c r="E73" i="10"/>
  <c r="E83" i="10"/>
  <c r="L13" i="11"/>
  <c r="E12" i="10"/>
  <c r="E22" i="10"/>
  <c r="E32" i="10"/>
  <c r="L12" i="11"/>
  <c r="C12" i="6"/>
  <c r="E66" i="9"/>
  <c r="E76" i="9"/>
  <c r="L8" i="11"/>
  <c r="E13" i="9"/>
  <c r="E23" i="9"/>
  <c r="L7" i="11"/>
  <c r="F12" i="6"/>
  <c r="E97" i="9"/>
  <c r="E107" i="9"/>
  <c r="E87" i="9"/>
  <c r="E117" i="9"/>
  <c r="E127" i="9"/>
  <c r="L10" i="11"/>
  <c r="E34" i="9"/>
  <c r="E44" i="9"/>
  <c r="E54" i="9"/>
  <c r="L9" i="11"/>
  <c r="I12" i="6"/>
  <c r="H115" i="3"/>
  <c r="K115" i="3"/>
  <c r="N115" i="3"/>
  <c r="E115" i="3"/>
  <c r="R12" i="6"/>
  <c r="E159" i="9"/>
  <c r="E169" i="9"/>
  <c r="L11" i="11"/>
  <c r="L12" i="6"/>
  <c r="E138" i="9"/>
  <c r="E148" i="9"/>
  <c r="L14" i="11"/>
  <c r="O12" i="6"/>
  <c r="U12" i="6"/>
  <c r="F12" i="2"/>
  <c r="L23" i="11"/>
  <c r="E12" i="6"/>
  <c r="G115" i="3"/>
  <c r="J115" i="3"/>
  <c r="M115" i="3"/>
  <c r="D115" i="3"/>
  <c r="Q12" i="6"/>
  <c r="L27" i="11"/>
  <c r="B12" i="6"/>
  <c r="L25" i="11"/>
  <c r="H12" i="6"/>
  <c r="T12" i="6"/>
  <c r="G85" i="3"/>
  <c r="J85" i="3"/>
  <c r="M85" i="3"/>
  <c r="D85" i="3"/>
  <c r="N12" i="4"/>
  <c r="G135" i="3"/>
  <c r="J135" i="3"/>
  <c r="M135" i="3"/>
  <c r="D135" i="3"/>
  <c r="K12" i="4"/>
  <c r="T12" i="4"/>
  <c r="E12" i="2"/>
  <c r="G12" i="2"/>
  <c r="H136" i="3"/>
  <c r="K136" i="3"/>
  <c r="N136" i="3"/>
  <c r="E136" i="3"/>
  <c r="L13" i="4"/>
  <c r="H76" i="3"/>
  <c r="G76" i="3"/>
  <c r="I76" i="3"/>
  <c r="H106" i="3"/>
  <c r="K76" i="3"/>
  <c r="J76" i="3"/>
  <c r="L76" i="3"/>
  <c r="K106" i="3"/>
  <c r="N76" i="3"/>
  <c r="M76" i="3"/>
  <c r="O76" i="3"/>
  <c r="N106" i="3"/>
  <c r="E106" i="3"/>
  <c r="I13" i="4"/>
  <c r="H86" i="3"/>
  <c r="K86" i="3"/>
  <c r="N86" i="3"/>
  <c r="E86" i="3"/>
  <c r="O13" i="4"/>
  <c r="U13" i="4"/>
  <c r="E44" i="10"/>
  <c r="E54" i="10"/>
  <c r="E64" i="10"/>
  <c r="E74" i="10"/>
  <c r="E84" i="10"/>
  <c r="M13" i="11"/>
  <c r="E13" i="10"/>
  <c r="E23" i="10"/>
  <c r="E33" i="10"/>
  <c r="M12" i="11"/>
  <c r="C13" i="6"/>
  <c r="E67" i="9"/>
  <c r="E77" i="9"/>
  <c r="M8" i="11"/>
  <c r="E14" i="9"/>
  <c r="E24" i="9"/>
  <c r="M7" i="11"/>
  <c r="F13" i="6"/>
  <c r="E98" i="9"/>
  <c r="E108" i="9"/>
  <c r="E88" i="9"/>
  <c r="E118" i="9"/>
  <c r="E128" i="9"/>
  <c r="M10" i="11"/>
  <c r="E35" i="9"/>
  <c r="E45" i="9"/>
  <c r="E55" i="9"/>
  <c r="M9" i="11"/>
  <c r="I13" i="6"/>
  <c r="H116" i="3"/>
  <c r="K116" i="3"/>
  <c r="N116" i="3"/>
  <c r="E116" i="3"/>
  <c r="R13" i="6"/>
  <c r="E160" i="9"/>
  <c r="E170" i="9"/>
  <c r="M11" i="11"/>
  <c r="L13" i="6"/>
  <c r="E139" i="9"/>
  <c r="E149" i="9"/>
  <c r="M14" i="11"/>
  <c r="O13" i="6"/>
  <c r="U13" i="6"/>
  <c r="F13" i="2"/>
  <c r="M23" i="11"/>
  <c r="E13" i="6"/>
  <c r="G116" i="3"/>
  <c r="J116" i="3"/>
  <c r="M116" i="3"/>
  <c r="D116" i="3"/>
  <c r="Q13" i="6"/>
  <c r="M27" i="11"/>
  <c r="B13" i="6"/>
  <c r="M25" i="11"/>
  <c r="H13" i="6"/>
  <c r="T13" i="6"/>
  <c r="G86" i="3"/>
  <c r="J86" i="3"/>
  <c r="M86" i="3"/>
  <c r="D86" i="3"/>
  <c r="N13" i="4"/>
  <c r="G136" i="3"/>
  <c r="J136" i="3"/>
  <c r="M136" i="3"/>
  <c r="D136" i="3"/>
  <c r="K13" i="4"/>
  <c r="T13" i="4"/>
  <c r="E13" i="2"/>
  <c r="G13" i="2"/>
  <c r="J19" i="2"/>
  <c r="E48" i="14"/>
  <c r="E47" i="14"/>
  <c r="E46" i="14"/>
  <c r="E45" i="14"/>
  <c r="E44" i="14"/>
  <c r="E43" i="14"/>
  <c r="E42" i="14"/>
  <c r="E41" i="14"/>
  <c r="E40" i="14"/>
  <c r="E13" i="27"/>
  <c r="E12" i="27"/>
  <c r="E11" i="27"/>
  <c r="E10" i="27"/>
  <c r="E9" i="27"/>
  <c r="E8" i="27"/>
  <c r="E7" i="27"/>
  <c r="E6" i="27"/>
  <c r="I46" i="3"/>
  <c r="I47" i="3"/>
  <c r="I48" i="3"/>
  <c r="I49" i="3"/>
  <c r="I50" i="3"/>
  <c r="I51" i="3"/>
  <c r="I52" i="3"/>
  <c r="I53" i="3"/>
  <c r="I54" i="3"/>
  <c r="I55" i="3"/>
  <c r="L46" i="3"/>
  <c r="L47" i="3"/>
  <c r="L48" i="3"/>
  <c r="L49" i="3"/>
  <c r="L50" i="3"/>
  <c r="L51" i="3"/>
  <c r="L52" i="3"/>
  <c r="L53" i="3"/>
  <c r="L54" i="3"/>
  <c r="L55" i="3"/>
  <c r="D46" i="3"/>
  <c r="E46" i="3"/>
  <c r="F46" i="3"/>
  <c r="O46" i="3"/>
  <c r="D47" i="3"/>
  <c r="E47" i="3"/>
  <c r="F47" i="3"/>
  <c r="O47" i="3"/>
  <c r="D48" i="3"/>
  <c r="E48" i="3"/>
  <c r="F48" i="3"/>
  <c r="O48" i="3"/>
  <c r="D49" i="3"/>
  <c r="E49" i="3"/>
  <c r="F49" i="3"/>
  <c r="O49" i="3"/>
  <c r="D50" i="3"/>
  <c r="E50" i="3"/>
  <c r="F50" i="3"/>
  <c r="O50" i="3"/>
  <c r="D51" i="3"/>
  <c r="E51" i="3"/>
  <c r="F51" i="3"/>
  <c r="O51" i="3"/>
  <c r="D52" i="3"/>
  <c r="E52" i="3"/>
  <c r="F52" i="3"/>
  <c r="O52" i="3"/>
  <c r="D53" i="3"/>
  <c r="E53" i="3"/>
  <c r="F53" i="3"/>
  <c r="O53" i="3"/>
  <c r="D54" i="3"/>
  <c r="E54" i="3"/>
  <c r="F54" i="3"/>
  <c r="O54" i="3"/>
  <c r="D55" i="3"/>
  <c r="E55" i="3"/>
  <c r="F55" i="3"/>
  <c r="O55" i="3"/>
  <c r="I16" i="3"/>
  <c r="L16" i="3"/>
  <c r="O16" i="3"/>
  <c r="I17" i="3"/>
  <c r="L17" i="3"/>
  <c r="O17" i="3"/>
  <c r="I18" i="3"/>
  <c r="L18" i="3"/>
  <c r="O18" i="3"/>
  <c r="I19" i="3"/>
  <c r="L19" i="3"/>
  <c r="O19" i="3"/>
  <c r="I20" i="3"/>
  <c r="L20" i="3"/>
  <c r="O20" i="3"/>
  <c r="I21" i="3"/>
  <c r="L21" i="3"/>
  <c r="O21" i="3"/>
  <c r="I22" i="3"/>
  <c r="L22" i="3"/>
  <c r="O22" i="3"/>
  <c r="I23" i="3"/>
  <c r="L23" i="3"/>
  <c r="O23" i="3"/>
  <c r="I24" i="3"/>
  <c r="L24" i="3"/>
  <c r="O24" i="3"/>
  <c r="I25" i="3"/>
  <c r="L25" i="3"/>
  <c r="O25" i="3"/>
  <c r="I26" i="3"/>
  <c r="L26" i="3"/>
  <c r="O26" i="3"/>
  <c r="I27" i="3"/>
  <c r="L27" i="3"/>
  <c r="O27" i="3"/>
  <c r="I28" i="3"/>
  <c r="L28" i="3"/>
  <c r="O28" i="3"/>
  <c r="I29" i="3"/>
  <c r="L29" i="3"/>
  <c r="O29" i="3"/>
  <c r="I30" i="3"/>
  <c r="L30" i="3"/>
  <c r="O30" i="3"/>
  <c r="I31" i="3"/>
  <c r="L31" i="3"/>
  <c r="O31" i="3"/>
  <c r="I32" i="3"/>
  <c r="L32" i="3"/>
  <c r="O32" i="3"/>
  <c r="I33" i="3"/>
  <c r="L33" i="3"/>
  <c r="O33" i="3"/>
  <c r="I34" i="3"/>
  <c r="L34" i="3"/>
  <c r="O34" i="3"/>
  <c r="I35" i="3"/>
  <c r="L35" i="3"/>
  <c r="O35" i="3"/>
  <c r="I107" i="3"/>
  <c r="L107" i="3"/>
  <c r="O107" i="3"/>
  <c r="F107" i="3"/>
  <c r="I108" i="3"/>
  <c r="L108" i="3"/>
  <c r="O108" i="3"/>
  <c r="F108" i="3"/>
  <c r="I109" i="3"/>
  <c r="L109" i="3"/>
  <c r="O109" i="3"/>
  <c r="F109" i="3"/>
  <c r="I110" i="3"/>
  <c r="L110" i="3"/>
  <c r="O110" i="3"/>
  <c r="F110" i="3"/>
  <c r="I111" i="3"/>
  <c r="L111" i="3"/>
  <c r="O111" i="3"/>
  <c r="F111" i="3"/>
  <c r="I112" i="3"/>
  <c r="L112" i="3"/>
  <c r="O112" i="3"/>
  <c r="F112" i="3"/>
  <c r="I113" i="3"/>
  <c r="L113" i="3"/>
  <c r="O113" i="3"/>
  <c r="F113" i="3"/>
  <c r="I114" i="3"/>
  <c r="L114" i="3"/>
  <c r="O114" i="3"/>
  <c r="F114" i="3"/>
  <c r="I115" i="3"/>
  <c r="L115" i="3"/>
  <c r="O115" i="3"/>
  <c r="F115" i="3"/>
  <c r="I116" i="3"/>
  <c r="L116" i="3"/>
  <c r="O116" i="3"/>
  <c r="F116" i="3"/>
  <c r="G117" i="3"/>
  <c r="J117" i="3"/>
  <c r="M117" i="3"/>
  <c r="D117" i="3"/>
  <c r="H117" i="3"/>
  <c r="K117" i="3"/>
  <c r="N117" i="3"/>
  <c r="E117" i="3"/>
  <c r="I117" i="3"/>
  <c r="L117" i="3"/>
  <c r="O117" i="3"/>
  <c r="F117" i="3"/>
  <c r="G118" i="3"/>
  <c r="J118" i="3"/>
  <c r="M118" i="3"/>
  <c r="D118" i="3"/>
  <c r="H118" i="3"/>
  <c r="K118" i="3"/>
  <c r="N118" i="3"/>
  <c r="E118" i="3"/>
  <c r="I118" i="3"/>
  <c r="L118" i="3"/>
  <c r="O118" i="3"/>
  <c r="F118" i="3"/>
  <c r="G119" i="3"/>
  <c r="J119" i="3"/>
  <c r="M119" i="3"/>
  <c r="D119" i="3"/>
  <c r="H119" i="3"/>
  <c r="K119" i="3"/>
  <c r="N119" i="3"/>
  <c r="E119" i="3"/>
  <c r="I119" i="3"/>
  <c r="L119" i="3"/>
  <c r="O119" i="3"/>
  <c r="F119" i="3"/>
  <c r="G120" i="3"/>
  <c r="J120" i="3"/>
  <c r="M120" i="3"/>
  <c r="D120" i="3"/>
  <c r="H120" i="3"/>
  <c r="K120" i="3"/>
  <c r="N120" i="3"/>
  <c r="E120" i="3"/>
  <c r="I120" i="3"/>
  <c r="L120" i="3"/>
  <c r="O120" i="3"/>
  <c r="F120" i="3"/>
  <c r="G121" i="3"/>
  <c r="J121" i="3"/>
  <c r="M121" i="3"/>
  <c r="D121" i="3"/>
  <c r="H121" i="3"/>
  <c r="K121" i="3"/>
  <c r="N121" i="3"/>
  <c r="E121" i="3"/>
  <c r="I121" i="3"/>
  <c r="L121" i="3"/>
  <c r="O121" i="3"/>
  <c r="F121" i="3"/>
  <c r="G122" i="3"/>
  <c r="J122" i="3"/>
  <c r="M122" i="3"/>
  <c r="D122" i="3"/>
  <c r="H122" i="3"/>
  <c r="K122" i="3"/>
  <c r="N122" i="3"/>
  <c r="E122" i="3"/>
  <c r="I122" i="3"/>
  <c r="L122" i="3"/>
  <c r="O122" i="3"/>
  <c r="F122" i="3"/>
  <c r="G123" i="3"/>
  <c r="J123" i="3"/>
  <c r="M123" i="3"/>
  <c r="D123" i="3"/>
  <c r="H123" i="3"/>
  <c r="K123" i="3"/>
  <c r="N123" i="3"/>
  <c r="E123" i="3"/>
  <c r="I123" i="3"/>
  <c r="L123" i="3"/>
  <c r="O123" i="3"/>
  <c r="F123" i="3"/>
  <c r="G124" i="3"/>
  <c r="J124" i="3"/>
  <c r="M124" i="3"/>
  <c r="D124" i="3"/>
  <c r="H124" i="3"/>
  <c r="K124" i="3"/>
  <c r="N124" i="3"/>
  <c r="E124" i="3"/>
  <c r="I124" i="3"/>
  <c r="L124" i="3"/>
  <c r="O124" i="3"/>
  <c r="F124" i="3"/>
  <c r="G125" i="3"/>
  <c r="J125" i="3"/>
  <c r="M125" i="3"/>
  <c r="D125" i="3"/>
  <c r="H125" i="3"/>
  <c r="K125" i="3"/>
  <c r="N125" i="3"/>
  <c r="E125" i="3"/>
  <c r="I125" i="3"/>
  <c r="L125" i="3"/>
  <c r="O125" i="3"/>
  <c r="F125" i="3"/>
  <c r="G126" i="3"/>
  <c r="J126" i="3"/>
  <c r="M126" i="3"/>
  <c r="D126" i="3"/>
  <c r="H126" i="3"/>
  <c r="K126" i="3"/>
  <c r="N126" i="3"/>
  <c r="E126" i="3"/>
  <c r="I126" i="3"/>
  <c r="L126" i="3"/>
  <c r="O126" i="3"/>
  <c r="F126" i="3"/>
  <c r="D97" i="3"/>
  <c r="I97" i="3"/>
  <c r="L97" i="3"/>
  <c r="O97" i="3"/>
  <c r="F97" i="3"/>
  <c r="D98" i="3"/>
  <c r="I98" i="3"/>
  <c r="L98" i="3"/>
  <c r="O98" i="3"/>
  <c r="F98" i="3"/>
  <c r="D99" i="3"/>
  <c r="I99" i="3"/>
  <c r="L99" i="3"/>
  <c r="O99" i="3"/>
  <c r="F99" i="3"/>
  <c r="D100" i="3"/>
  <c r="I100" i="3"/>
  <c r="L100" i="3"/>
  <c r="O100" i="3"/>
  <c r="F100" i="3"/>
  <c r="D101" i="3"/>
  <c r="I101" i="3"/>
  <c r="L101" i="3"/>
  <c r="O101" i="3"/>
  <c r="F101" i="3"/>
  <c r="D102" i="3"/>
  <c r="I102" i="3"/>
  <c r="L102" i="3"/>
  <c r="O102" i="3"/>
  <c r="F102" i="3"/>
  <c r="D103" i="3"/>
  <c r="I103" i="3"/>
  <c r="L103" i="3"/>
  <c r="O103" i="3"/>
  <c r="F103" i="3"/>
  <c r="D104" i="3"/>
  <c r="I104" i="3"/>
  <c r="L104" i="3"/>
  <c r="O104" i="3"/>
  <c r="F104" i="3"/>
  <c r="D105" i="3"/>
  <c r="I105" i="3"/>
  <c r="L105" i="3"/>
  <c r="O105" i="3"/>
  <c r="F105" i="3"/>
  <c r="D106" i="3"/>
  <c r="I106" i="3"/>
  <c r="L106" i="3"/>
  <c r="O106" i="3"/>
  <c r="F106" i="3"/>
  <c r="G3" i="3"/>
  <c r="M3" i="3"/>
  <c r="J3" i="3"/>
  <c r="Z5" i="19"/>
  <c r="AF5" i="19"/>
  <c r="AA5" i="19"/>
  <c r="AG5" i="19"/>
  <c r="AH5" i="19"/>
  <c r="Z6" i="19"/>
  <c r="AF6" i="19"/>
  <c r="AA6" i="19"/>
  <c r="AG6" i="19"/>
  <c r="AH6" i="19"/>
  <c r="Z7" i="19"/>
  <c r="AF7" i="19"/>
  <c r="AA7" i="19"/>
  <c r="AG7" i="19"/>
  <c r="AH7" i="19"/>
  <c r="Z8" i="19"/>
  <c r="AF8" i="19"/>
  <c r="AA8" i="19"/>
  <c r="AG8" i="19"/>
  <c r="AH8" i="19"/>
  <c r="Z9" i="19"/>
  <c r="AF9" i="19"/>
  <c r="AA9" i="19"/>
  <c r="AG9" i="19"/>
  <c r="AH9" i="19"/>
  <c r="Z10" i="19"/>
  <c r="AF10" i="19"/>
  <c r="AA10" i="19"/>
  <c r="AG10" i="19"/>
  <c r="AH10" i="19"/>
  <c r="Z11" i="19"/>
  <c r="AF11" i="19"/>
  <c r="AA11" i="19"/>
  <c r="AG11" i="19"/>
  <c r="AH11" i="19"/>
  <c r="Z12" i="19"/>
  <c r="AF12" i="19"/>
  <c r="AA12" i="19"/>
  <c r="AG12" i="19"/>
  <c r="AH12" i="19"/>
  <c r="AH13" i="19"/>
  <c r="Z15" i="19"/>
  <c r="AF15" i="19"/>
  <c r="AA15" i="19"/>
  <c r="AG15" i="19"/>
  <c r="AH15" i="19"/>
  <c r="AH16" i="19"/>
  <c r="AH18" i="19"/>
  <c r="AG13" i="19"/>
  <c r="AG16" i="19"/>
  <c r="AG18" i="19"/>
  <c r="AF13" i="19"/>
  <c r="AF14" i="19"/>
  <c r="AF16" i="19"/>
  <c r="AF18" i="19"/>
  <c r="L41" i="24"/>
  <c r="G41" i="24"/>
  <c r="B41" i="24"/>
  <c r="L5" i="24"/>
  <c r="G5" i="24"/>
  <c r="B5" i="24"/>
  <c r="L41" i="23"/>
  <c r="G41" i="23"/>
  <c r="B41" i="23"/>
  <c r="O5" i="23"/>
  <c r="L5" i="23"/>
  <c r="G5" i="23"/>
  <c r="B5" i="23"/>
  <c r="E74" i="14"/>
  <c r="F85" i="14"/>
  <c r="F86" i="14"/>
  <c r="F87" i="14"/>
  <c r="F88" i="14"/>
  <c r="F89" i="14"/>
  <c r="F90" i="14"/>
  <c r="F91" i="14"/>
  <c r="F92" i="14"/>
  <c r="F93" i="14"/>
  <c r="E5" i="27"/>
  <c r="AG14" i="19"/>
  <c r="AH14" i="19"/>
  <c r="AG17" i="19"/>
  <c r="AF17" i="19"/>
  <c r="AH17" i="19"/>
  <c r="N87" i="3"/>
  <c r="M87" i="3"/>
  <c r="K87" i="3"/>
  <c r="J87" i="3"/>
  <c r="H87" i="3"/>
  <c r="G87" i="3"/>
  <c r="O65" i="3"/>
  <c r="L65" i="3"/>
  <c r="I65" i="3"/>
  <c r="O64" i="3"/>
  <c r="L64" i="3"/>
  <c r="I64" i="3"/>
  <c r="O63" i="3"/>
  <c r="L63" i="3"/>
  <c r="I63" i="3"/>
  <c r="O62" i="3"/>
  <c r="L62" i="3"/>
  <c r="I62" i="3"/>
  <c r="O61" i="3"/>
  <c r="L61" i="3"/>
  <c r="I61" i="3"/>
  <c r="O60" i="3"/>
  <c r="L60" i="3"/>
  <c r="I60" i="3"/>
  <c r="O59" i="3"/>
  <c r="L59" i="3"/>
  <c r="I59" i="3"/>
  <c r="O58" i="3"/>
  <c r="L58" i="3"/>
  <c r="I58" i="3"/>
  <c r="O57" i="3"/>
  <c r="L57" i="3"/>
  <c r="I57" i="3"/>
  <c r="O56" i="3"/>
  <c r="L56" i="3"/>
  <c r="I56" i="3"/>
  <c r="I40" i="3"/>
  <c r="I39" i="3"/>
  <c r="O38" i="3"/>
  <c r="L40" i="3"/>
  <c r="I38" i="3"/>
  <c r="O37" i="3"/>
  <c r="L37" i="3"/>
  <c r="I37" i="3"/>
  <c r="O36" i="3"/>
  <c r="L36" i="3"/>
  <c r="I36" i="3"/>
  <c r="O6" i="3"/>
  <c r="L6" i="3"/>
  <c r="I6" i="3"/>
  <c r="L39" i="3"/>
  <c r="O41" i="3"/>
  <c r="I87" i="3"/>
  <c r="O87" i="3"/>
  <c r="L87" i="3"/>
  <c r="H88" i="3"/>
  <c r="J88" i="3"/>
  <c r="M89" i="3"/>
  <c r="G89" i="3"/>
  <c r="I7" i="3"/>
  <c r="K88" i="3"/>
  <c r="L88" i="3"/>
  <c r="L7" i="3"/>
  <c r="O39" i="3"/>
  <c r="M88" i="3"/>
  <c r="N88" i="3"/>
  <c r="O40" i="3"/>
  <c r="G88" i="3"/>
  <c r="O7" i="3"/>
  <c r="L38" i="3"/>
  <c r="O42" i="3"/>
  <c r="O88" i="3"/>
  <c r="N89" i="3"/>
  <c r="O89" i="3"/>
  <c r="O8" i="3"/>
  <c r="J89" i="3"/>
  <c r="H89" i="3"/>
  <c r="I89" i="3"/>
  <c r="I8" i="3"/>
  <c r="I41" i="3"/>
  <c r="K89" i="3"/>
  <c r="L8" i="3"/>
  <c r="L41" i="3"/>
  <c r="I88" i="3"/>
  <c r="M90" i="3"/>
  <c r="G90" i="3"/>
  <c r="O43" i="3"/>
  <c r="J90" i="3"/>
  <c r="M91" i="3"/>
  <c r="N90" i="3"/>
  <c r="O90" i="3"/>
  <c r="O9" i="3"/>
  <c r="G91" i="3"/>
  <c r="I42" i="3"/>
  <c r="L42" i="3"/>
  <c r="K90" i="3"/>
  <c r="L9" i="3"/>
  <c r="L89" i="3"/>
  <c r="I9" i="3"/>
  <c r="H90" i="3"/>
  <c r="I90" i="3"/>
  <c r="L90" i="3"/>
  <c r="H91" i="3"/>
  <c r="I91" i="3"/>
  <c r="I10" i="3"/>
  <c r="K91" i="3"/>
  <c r="L10" i="3"/>
  <c r="L43" i="3"/>
  <c r="O45" i="3"/>
  <c r="O44" i="3"/>
  <c r="I43" i="3"/>
  <c r="J91" i="3"/>
  <c r="M92" i="3"/>
  <c r="G92" i="3"/>
  <c r="N91" i="3"/>
  <c r="O91" i="3"/>
  <c r="O10" i="3"/>
  <c r="J92" i="3"/>
  <c r="M93" i="3"/>
  <c r="K92" i="3"/>
  <c r="L11" i="3"/>
  <c r="I44" i="3"/>
  <c r="I45" i="3"/>
  <c r="H92" i="3"/>
  <c r="I92" i="3"/>
  <c r="I11" i="3"/>
  <c r="G93" i="3"/>
  <c r="O11" i="3"/>
  <c r="N92" i="3"/>
  <c r="O92" i="3"/>
  <c r="L44" i="3"/>
  <c r="L45" i="3"/>
  <c r="L91" i="3"/>
  <c r="L92" i="3"/>
  <c r="K93" i="3"/>
  <c r="L12" i="3"/>
  <c r="M94" i="3"/>
  <c r="J93" i="3"/>
  <c r="N93" i="3"/>
  <c r="O93" i="3"/>
  <c r="O12" i="3"/>
  <c r="G94" i="3"/>
  <c r="H93" i="3"/>
  <c r="I93" i="3"/>
  <c r="I12" i="3"/>
  <c r="J94" i="3"/>
  <c r="M95" i="3"/>
  <c r="G95" i="3"/>
  <c r="N94" i="3"/>
  <c r="O94" i="3"/>
  <c r="O13" i="3"/>
  <c r="K94" i="3"/>
  <c r="L13" i="3"/>
  <c r="H94" i="3"/>
  <c r="I94" i="3"/>
  <c r="I13" i="3"/>
  <c r="L93" i="3"/>
  <c r="L94" i="3"/>
  <c r="J95" i="3"/>
  <c r="N95" i="3"/>
  <c r="O95" i="3"/>
  <c r="O14" i="3"/>
  <c r="M96" i="3"/>
  <c r="H95" i="3"/>
  <c r="I95" i="3"/>
  <c r="I14" i="3"/>
  <c r="L14" i="3"/>
  <c r="K95" i="3"/>
  <c r="G96" i="3"/>
  <c r="L95" i="3"/>
  <c r="K96" i="3"/>
  <c r="L15" i="3"/>
  <c r="N96" i="3"/>
  <c r="O96" i="3"/>
  <c r="O15" i="3"/>
  <c r="H96" i="3"/>
  <c r="I96" i="3"/>
  <c r="I15" i="3"/>
  <c r="J96" i="3"/>
  <c r="E65" i="3"/>
  <c r="E64" i="3"/>
  <c r="E63" i="3"/>
  <c r="E62" i="3"/>
  <c r="E61" i="3"/>
  <c r="E60" i="3"/>
  <c r="E59" i="3"/>
  <c r="E58" i="3"/>
  <c r="E57" i="3"/>
  <c r="E56" i="3"/>
  <c r="D65" i="3"/>
  <c r="D64" i="3"/>
  <c r="D63" i="3"/>
  <c r="D62" i="3"/>
  <c r="D61" i="3"/>
  <c r="D60" i="3"/>
  <c r="D59" i="3"/>
  <c r="D58" i="3"/>
  <c r="D57" i="3"/>
  <c r="D56" i="3"/>
  <c r="E6" i="3"/>
  <c r="D6" i="3"/>
  <c r="L96" i="3"/>
  <c r="D7" i="3"/>
  <c r="E8" i="3"/>
  <c r="E7" i="3"/>
  <c r="D8" i="3"/>
  <c r="E9" i="3"/>
  <c r="D9" i="3"/>
  <c r="E10" i="3"/>
  <c r="D10" i="3"/>
  <c r="E103" i="14"/>
  <c r="E102" i="14"/>
  <c r="E101" i="14"/>
  <c r="E100" i="14"/>
  <c r="E99" i="14"/>
  <c r="E98" i="14"/>
  <c r="E97" i="14"/>
  <c r="E96" i="14"/>
  <c r="E95" i="14"/>
  <c r="E94" i="14"/>
  <c r="E93" i="14"/>
  <c r="D93" i="14"/>
  <c r="E92" i="14"/>
  <c r="D92" i="14"/>
  <c r="E91" i="14"/>
  <c r="D91" i="14"/>
  <c r="E90" i="14"/>
  <c r="D90" i="14"/>
  <c r="E89" i="14"/>
  <c r="D89" i="14"/>
  <c r="E88" i="14"/>
  <c r="D88" i="14"/>
  <c r="E87" i="14"/>
  <c r="D87" i="14"/>
  <c r="E86" i="14"/>
  <c r="D86" i="14"/>
  <c r="E85" i="14"/>
  <c r="D85" i="14"/>
  <c r="E84" i="14"/>
  <c r="D84" i="14"/>
  <c r="E83" i="14"/>
  <c r="E82" i="14"/>
  <c r="E81" i="14"/>
  <c r="D81" i="14"/>
  <c r="E80" i="14"/>
  <c r="E79" i="14"/>
  <c r="E78" i="14"/>
  <c r="E77" i="14"/>
  <c r="E76" i="14"/>
  <c r="E75" i="14"/>
  <c r="A72" i="14"/>
  <c r="E68" i="14"/>
  <c r="E67" i="14"/>
  <c r="E66" i="14"/>
  <c r="E65" i="14"/>
  <c r="E64" i="14"/>
  <c r="E63" i="14"/>
  <c r="E62" i="14"/>
  <c r="E61" i="14"/>
  <c r="E60" i="14"/>
  <c r="E59" i="14"/>
  <c r="E58" i="14"/>
  <c r="E57" i="14"/>
  <c r="D57" i="14"/>
  <c r="E56" i="14"/>
  <c r="D56" i="14"/>
  <c r="E55" i="14"/>
  <c r="D55" i="14"/>
  <c r="E54" i="14"/>
  <c r="D54" i="14"/>
  <c r="E53" i="14"/>
  <c r="D53" i="14"/>
  <c r="E52" i="14"/>
  <c r="D52" i="14"/>
  <c r="E51" i="14"/>
  <c r="D51" i="14"/>
  <c r="E50" i="14"/>
  <c r="D50" i="14"/>
  <c r="E49" i="14"/>
  <c r="D49" i="14"/>
  <c r="E39" i="14"/>
  <c r="A37" i="14"/>
  <c r="E33" i="14"/>
  <c r="E32" i="14"/>
  <c r="E31" i="14"/>
  <c r="E30" i="14"/>
  <c r="E29" i="14"/>
  <c r="E28" i="14"/>
  <c r="E27" i="14"/>
  <c r="E26" i="14"/>
  <c r="E25" i="14"/>
  <c r="E24" i="14"/>
  <c r="E23" i="14"/>
  <c r="D23" i="14"/>
  <c r="E22" i="14"/>
  <c r="D22" i="14"/>
  <c r="E21" i="14"/>
  <c r="D21" i="14"/>
  <c r="E20" i="14"/>
  <c r="D20" i="14"/>
  <c r="E19" i="14"/>
  <c r="D19" i="14"/>
  <c r="E18" i="14"/>
  <c r="D18" i="14"/>
  <c r="E17" i="14"/>
  <c r="D17" i="14"/>
  <c r="E16" i="14"/>
  <c r="D16" i="14"/>
  <c r="E15" i="14"/>
  <c r="D15" i="14"/>
  <c r="E14" i="14"/>
  <c r="D14" i="14"/>
  <c r="E13" i="14"/>
  <c r="E12" i="14"/>
  <c r="E11" i="14"/>
  <c r="E10" i="14"/>
  <c r="E9" i="14"/>
  <c r="E8" i="14"/>
  <c r="E7" i="14"/>
  <c r="E6" i="14"/>
  <c r="E5" i="14"/>
  <c r="E4" i="14"/>
  <c r="A2" i="14"/>
  <c r="AO12" i="26"/>
  <c r="AN12" i="26"/>
  <c r="AM12" i="26"/>
  <c r="AF12" i="26"/>
  <c r="AE12" i="26"/>
  <c r="AD12" i="26"/>
  <c r="AC12" i="26"/>
  <c r="AP11" i="26"/>
  <c r="AP6" i="26"/>
  <c r="AP7" i="26"/>
  <c r="AP8" i="26"/>
  <c r="AP9" i="26"/>
  <c r="AP10" i="26"/>
  <c r="AP12" i="26"/>
  <c r="AH11" i="26"/>
  <c r="AG11" i="26"/>
  <c r="AI11" i="26"/>
  <c r="AH10" i="26"/>
  <c r="AG10" i="26"/>
  <c r="AH9" i="26"/>
  <c r="AG9" i="26"/>
  <c r="AI9" i="26"/>
  <c r="AH8" i="26"/>
  <c r="AG8" i="26"/>
  <c r="AH7" i="26"/>
  <c r="AG7" i="26"/>
  <c r="AH6" i="26"/>
  <c r="AH12" i="26"/>
  <c r="AG6" i="26"/>
  <c r="E27" i="27"/>
  <c r="E26" i="27"/>
  <c r="E25" i="27"/>
  <c r="E24" i="27"/>
  <c r="E23" i="27"/>
  <c r="E22" i="27"/>
  <c r="E21" i="27"/>
  <c r="E20" i="27"/>
  <c r="E19" i="27"/>
  <c r="E18" i="27"/>
  <c r="E17" i="27"/>
  <c r="E16" i="27"/>
  <c r="E15" i="27"/>
  <c r="E14" i="27"/>
  <c r="E4" i="27"/>
  <c r="E3" i="27"/>
  <c r="I42" i="11"/>
  <c r="K42" i="11"/>
  <c r="E42" i="11"/>
  <c r="F34" i="10"/>
  <c r="L12" i="20"/>
  <c r="M41" i="11"/>
  <c r="F41" i="11"/>
  <c r="G41" i="11"/>
  <c r="L41" i="11"/>
  <c r="I41" i="11"/>
  <c r="F3" i="10"/>
  <c r="L8" i="20"/>
  <c r="F150" i="9"/>
  <c r="F129" i="9"/>
  <c r="L13" i="20"/>
  <c r="F78" i="9"/>
  <c r="L10" i="20"/>
  <c r="L37" i="11"/>
  <c r="E57" i="9"/>
  <c r="F57" i="9"/>
  <c r="K38" i="11"/>
  <c r="H38" i="11"/>
  <c r="J38" i="11"/>
  <c r="M36" i="11"/>
  <c r="E36" i="11"/>
  <c r="G36" i="11"/>
  <c r="F4" i="9"/>
  <c r="E3" i="18"/>
  <c r="E25" i="17"/>
  <c r="E4" i="17"/>
  <c r="E3" i="17"/>
  <c r="L43" i="11"/>
  <c r="K43" i="11"/>
  <c r="H43" i="11"/>
  <c r="G43" i="11"/>
  <c r="F43" i="11"/>
  <c r="K41" i="11"/>
  <c r="J41" i="11"/>
  <c r="H41" i="11"/>
  <c r="L40" i="11"/>
  <c r="J40" i="11"/>
  <c r="H40" i="11"/>
  <c r="E40" i="11"/>
  <c r="I38" i="11"/>
  <c r="I37" i="11"/>
  <c r="F37" i="11"/>
  <c r="K36" i="11"/>
  <c r="J36" i="11"/>
  <c r="I36" i="11"/>
  <c r="D83" i="14"/>
  <c r="D46" i="14"/>
  <c r="D79" i="14"/>
  <c r="D44" i="14"/>
  <c r="D77" i="14"/>
  <c r="D42" i="14"/>
  <c r="D75" i="14"/>
  <c r="D40" i="14"/>
  <c r="D68" i="3"/>
  <c r="F63" i="3"/>
  <c r="F62" i="3"/>
  <c r="N14" i="6"/>
  <c r="K14" i="6"/>
  <c r="P12" i="6"/>
  <c r="M10" i="6"/>
  <c r="P8" i="6"/>
  <c r="M8" i="6"/>
  <c r="P7" i="6"/>
  <c r="P6" i="6"/>
  <c r="H14" i="4"/>
  <c r="F14" i="4"/>
  <c r="E14" i="4"/>
  <c r="G13" i="4"/>
  <c r="G12" i="4"/>
  <c r="G11" i="4"/>
  <c r="G10" i="4"/>
  <c r="G9" i="4"/>
  <c r="G8" i="4"/>
  <c r="G7" i="4"/>
  <c r="G6" i="4"/>
  <c r="G5" i="4"/>
  <c r="G4" i="4"/>
  <c r="L14" i="20"/>
  <c r="D14" i="20"/>
  <c r="D13" i="20"/>
  <c r="M12" i="20"/>
  <c r="D12" i="20"/>
  <c r="D11" i="20"/>
  <c r="D10" i="20"/>
  <c r="D8" i="20"/>
  <c r="D7" i="20"/>
  <c r="O136" i="3"/>
  <c r="L135" i="3"/>
  <c r="L134" i="3"/>
  <c r="I133" i="3"/>
  <c r="O128" i="3"/>
  <c r="I132" i="3"/>
  <c r="O129" i="3"/>
  <c r="L127" i="3"/>
  <c r="O130" i="3"/>
  <c r="L136" i="3"/>
  <c r="I134" i="3"/>
  <c r="L128" i="3"/>
  <c r="I135" i="3"/>
  <c r="O132" i="3"/>
  <c r="O131" i="3"/>
  <c r="L130" i="3"/>
  <c r="O134" i="3"/>
  <c r="L132" i="3"/>
  <c r="I129" i="3"/>
  <c r="I136" i="3"/>
  <c r="O133" i="3"/>
  <c r="L129" i="3"/>
  <c r="I128" i="3"/>
  <c r="I127" i="3"/>
  <c r="O135" i="3"/>
  <c r="L133" i="3"/>
  <c r="I130" i="3"/>
  <c r="O127" i="3"/>
  <c r="I131" i="3"/>
  <c r="L131" i="3"/>
  <c r="J43" i="11"/>
  <c r="P10" i="6"/>
  <c r="F60" i="3"/>
  <c r="L38" i="11"/>
  <c r="M8" i="20"/>
  <c r="D42" i="11"/>
  <c r="L42" i="11"/>
  <c r="M42" i="11"/>
  <c r="AI7" i="26"/>
  <c r="F58" i="3"/>
  <c r="D67" i="3"/>
  <c r="D72" i="3"/>
  <c r="E37" i="11"/>
  <c r="F7" i="3"/>
  <c r="F61" i="3"/>
  <c r="F56" i="3"/>
  <c r="F64" i="3"/>
  <c r="G37" i="11"/>
  <c r="AI8" i="26"/>
  <c r="F59" i="3"/>
  <c r="G38" i="11"/>
  <c r="M10" i="20"/>
  <c r="E41" i="11"/>
  <c r="G42" i="11"/>
  <c r="F42" i="11"/>
  <c r="H42" i="11"/>
  <c r="J42" i="11"/>
  <c r="C42" i="11"/>
  <c r="AG12" i="26"/>
  <c r="F57" i="3"/>
  <c r="F65" i="3"/>
  <c r="D71" i="3"/>
  <c r="G28" i="11"/>
  <c r="M38" i="11"/>
  <c r="E43" i="11"/>
  <c r="D43" i="11"/>
  <c r="E129" i="9"/>
  <c r="C7" i="11"/>
  <c r="F28" i="11"/>
  <c r="D70" i="3"/>
  <c r="D74" i="3"/>
  <c r="D89" i="3"/>
  <c r="D69" i="3"/>
  <c r="D73" i="3"/>
  <c r="D88" i="3"/>
  <c r="C4" i="4"/>
  <c r="R4" i="4"/>
  <c r="C6" i="4"/>
  <c r="C8" i="4"/>
  <c r="R8" i="4"/>
  <c r="E38" i="11"/>
  <c r="M13" i="20"/>
  <c r="K39" i="11"/>
  <c r="K28" i="11"/>
  <c r="M28" i="11"/>
  <c r="H28" i="11"/>
  <c r="D39" i="11"/>
  <c r="B5" i="4"/>
  <c r="Q5" i="4"/>
  <c r="B7" i="4"/>
  <c r="Q7" i="4"/>
  <c r="C5" i="4"/>
  <c r="R5" i="4"/>
  <c r="C7" i="4"/>
  <c r="B4" i="4"/>
  <c r="B6" i="4"/>
  <c r="Q6" i="4"/>
  <c r="B8" i="4"/>
  <c r="Q8" i="4"/>
  <c r="D91" i="3"/>
  <c r="E87" i="3"/>
  <c r="D87" i="3"/>
  <c r="D41" i="11"/>
  <c r="J39" i="11"/>
  <c r="L39" i="11"/>
  <c r="E39" i="11"/>
  <c r="F39" i="11"/>
  <c r="H39" i="11"/>
  <c r="M39" i="11"/>
  <c r="G39" i="11"/>
  <c r="I39" i="11"/>
  <c r="K37" i="11"/>
  <c r="D37" i="11"/>
  <c r="E91" i="3"/>
  <c r="E90" i="3"/>
  <c r="D90" i="3"/>
  <c r="E88" i="3"/>
  <c r="D6" i="14"/>
  <c r="E89" i="3"/>
  <c r="F11" i="3"/>
  <c r="E92" i="3"/>
  <c r="C9" i="4"/>
  <c r="E11" i="3"/>
  <c r="D92" i="3"/>
  <c r="B9" i="4"/>
  <c r="Q9" i="4"/>
  <c r="D11" i="3"/>
  <c r="F10" i="3"/>
  <c r="F8" i="3"/>
  <c r="F9" i="3"/>
  <c r="F6" i="3"/>
  <c r="G40" i="11"/>
  <c r="M7" i="6"/>
  <c r="I40" i="11"/>
  <c r="M9" i="6"/>
  <c r="I43" i="11"/>
  <c r="P9" i="6"/>
  <c r="D40" i="11"/>
  <c r="C11" i="11"/>
  <c r="F40" i="11"/>
  <c r="M6" i="6"/>
  <c r="K40" i="11"/>
  <c r="M11" i="6"/>
  <c r="M43" i="11"/>
  <c r="P13" i="6"/>
  <c r="M40" i="11"/>
  <c r="M13" i="6"/>
  <c r="C25" i="11"/>
  <c r="AI10" i="26"/>
  <c r="E78" i="9"/>
  <c r="E56" i="9"/>
  <c r="E12" i="20"/>
  <c r="D28" i="11"/>
  <c r="E150" i="9"/>
  <c r="E10" i="20"/>
  <c r="M5" i="6"/>
  <c r="F38" i="11"/>
  <c r="E28" i="11"/>
  <c r="M14" i="20"/>
  <c r="E8" i="20"/>
  <c r="E14" i="20"/>
  <c r="B14" i="6"/>
  <c r="P11" i="6"/>
  <c r="H14" i="6"/>
  <c r="H37" i="11"/>
  <c r="I28" i="11"/>
  <c r="E4" i="9"/>
  <c r="E13" i="20"/>
  <c r="G14" i="4"/>
  <c r="M18" i="20"/>
  <c r="J28" i="11"/>
  <c r="D9" i="20"/>
  <c r="E11" i="20"/>
  <c r="M12" i="6"/>
  <c r="J37" i="11"/>
  <c r="L28" i="11"/>
  <c r="E3" i="10"/>
  <c r="E34" i="10"/>
  <c r="D11" i="6"/>
  <c r="E7" i="20"/>
  <c r="M37" i="11"/>
  <c r="C27" i="11"/>
  <c r="G15" i="4"/>
  <c r="E18" i="20"/>
  <c r="D4" i="14"/>
  <c r="D8" i="14"/>
  <c r="D12" i="14"/>
  <c r="D39" i="14"/>
  <c r="D43" i="14"/>
  <c r="D47" i="14"/>
  <c r="C37" i="11"/>
  <c r="D10" i="14"/>
  <c r="C41" i="11"/>
  <c r="D41" i="14"/>
  <c r="D45" i="14"/>
  <c r="F36" i="11"/>
  <c r="L36" i="11"/>
  <c r="AI6" i="26"/>
  <c r="D7" i="14"/>
  <c r="D80" i="14"/>
  <c r="C8" i="11"/>
  <c r="C12" i="11"/>
  <c r="C23" i="11"/>
  <c r="H36" i="11"/>
  <c r="L7" i="20"/>
  <c r="D5" i="14"/>
  <c r="D13" i="14"/>
  <c r="D78" i="14"/>
  <c r="K15" i="11"/>
  <c r="D36" i="11"/>
  <c r="D11" i="14"/>
  <c r="D76" i="14"/>
  <c r="L11" i="20"/>
  <c r="F56" i="9"/>
  <c r="D9" i="14"/>
  <c r="D74" i="14"/>
  <c r="D82" i="14"/>
  <c r="L9" i="20"/>
  <c r="D5" i="6"/>
  <c r="D4" i="6"/>
  <c r="G5" i="6"/>
  <c r="D10" i="6"/>
  <c r="D12" i="6"/>
  <c r="J11" i="6"/>
  <c r="G12" i="6"/>
  <c r="G6" i="6"/>
  <c r="D8" i="6"/>
  <c r="G9" i="6"/>
  <c r="G11" i="6"/>
  <c r="D6" i="6"/>
  <c r="G7" i="6"/>
  <c r="G10" i="6"/>
  <c r="I15" i="11"/>
  <c r="H15" i="11"/>
  <c r="J9" i="6"/>
  <c r="J8" i="6"/>
  <c r="P5" i="6"/>
  <c r="L15" i="11"/>
  <c r="P4" i="6"/>
  <c r="I84" i="3"/>
  <c r="I81" i="3"/>
  <c r="O79" i="3"/>
  <c r="I86" i="3"/>
  <c r="L84" i="3"/>
  <c r="O81" i="3"/>
  <c r="L78" i="3"/>
  <c r="I78" i="3"/>
  <c r="O84" i="3"/>
  <c r="L86" i="3"/>
  <c r="O86" i="3"/>
  <c r="O83" i="3"/>
  <c r="L80" i="3"/>
  <c r="O77" i="3"/>
  <c r="I79" i="3"/>
  <c r="I83" i="3"/>
  <c r="I85" i="3"/>
  <c r="L83" i="3"/>
  <c r="I80" i="3"/>
  <c r="O78" i="3"/>
  <c r="O82" i="3"/>
  <c r="L81" i="3"/>
  <c r="O85" i="3"/>
  <c r="I82" i="3"/>
  <c r="O80" i="3"/>
  <c r="I77" i="3"/>
  <c r="L85" i="3"/>
  <c r="L82" i="3"/>
  <c r="L79" i="3"/>
  <c r="L77" i="3"/>
  <c r="E44" i="11"/>
  <c r="C13" i="11"/>
  <c r="E14" i="6"/>
  <c r="I44" i="11"/>
  <c r="F14" i="6"/>
  <c r="L14" i="6"/>
  <c r="G44" i="11"/>
  <c r="K44" i="11"/>
  <c r="C40" i="11"/>
  <c r="C14" i="6"/>
  <c r="AI12" i="26"/>
  <c r="J5" i="6"/>
  <c r="C43" i="11"/>
  <c r="C14" i="11"/>
  <c r="F89" i="3"/>
  <c r="E15" i="11"/>
  <c r="M44" i="11"/>
  <c r="F44" i="11"/>
  <c r="J15" i="11"/>
  <c r="J44" i="11"/>
  <c r="J10" i="6"/>
  <c r="C10" i="11"/>
  <c r="J13" i="6"/>
  <c r="B5" i="2"/>
  <c r="B8" i="2"/>
  <c r="B7" i="2"/>
  <c r="F88" i="3"/>
  <c r="C39" i="11"/>
  <c r="M9" i="20"/>
  <c r="H44" i="11"/>
  <c r="L44" i="11"/>
  <c r="J7" i="6"/>
  <c r="J12" i="6"/>
  <c r="M15" i="11"/>
  <c r="G15" i="11"/>
  <c r="E9" i="20"/>
  <c r="F15" i="11"/>
  <c r="J6" i="6"/>
  <c r="F90" i="3"/>
  <c r="F91" i="3"/>
  <c r="F87" i="3"/>
  <c r="M8" i="4"/>
  <c r="M6" i="4"/>
  <c r="M10" i="4"/>
  <c r="M13" i="4"/>
  <c r="M9" i="4"/>
  <c r="M12" i="4"/>
  <c r="M7" i="4"/>
  <c r="M11" i="4"/>
  <c r="M5" i="4"/>
  <c r="E70" i="3"/>
  <c r="E72" i="3"/>
  <c r="E67" i="3"/>
  <c r="E68" i="3"/>
  <c r="E69" i="3"/>
  <c r="E71" i="3"/>
  <c r="E93" i="3"/>
  <c r="C10" i="4"/>
  <c r="R10" i="4"/>
  <c r="F12" i="3"/>
  <c r="E12" i="3"/>
  <c r="F92" i="3"/>
  <c r="D93" i="3"/>
  <c r="D12" i="3"/>
  <c r="D58" i="14"/>
  <c r="D75" i="3"/>
  <c r="D103" i="14"/>
  <c r="S5" i="4"/>
  <c r="D4" i="4"/>
  <c r="S8" i="4"/>
  <c r="G13" i="6"/>
  <c r="K14" i="4"/>
  <c r="D8" i="4"/>
  <c r="M4" i="6"/>
  <c r="M15" i="6"/>
  <c r="G8" i="6"/>
  <c r="C28" i="11"/>
  <c r="M11" i="20"/>
  <c r="D5" i="4"/>
  <c r="R9" i="4"/>
  <c r="S9" i="4"/>
  <c r="D9" i="4"/>
  <c r="M14" i="6"/>
  <c r="C36" i="11"/>
  <c r="D17" i="20"/>
  <c r="L17" i="20"/>
  <c r="L22" i="20"/>
  <c r="R7" i="4"/>
  <c r="S7" i="4"/>
  <c r="D7" i="4"/>
  <c r="M7" i="20"/>
  <c r="Q4" i="4"/>
  <c r="R6" i="4"/>
  <c r="S6" i="4"/>
  <c r="D6" i="4"/>
  <c r="D64" i="14"/>
  <c r="D65" i="14"/>
  <c r="D61" i="14"/>
  <c r="D30" i="14"/>
  <c r="D33" i="14"/>
  <c r="D29" i="14"/>
  <c r="D25" i="14"/>
  <c r="D26" i="14"/>
  <c r="D31" i="14"/>
  <c r="D59" i="14"/>
  <c r="D96" i="14"/>
  <c r="D95" i="14"/>
  <c r="D63" i="14"/>
  <c r="D27" i="14"/>
  <c r="D100" i="14"/>
  <c r="D99" i="14"/>
  <c r="D98" i="14"/>
  <c r="D32" i="14"/>
  <c r="D28" i="14"/>
  <c r="D67" i="14"/>
  <c r="D24" i="14"/>
  <c r="D94" i="14"/>
  <c r="D60" i="14"/>
  <c r="D66" i="14"/>
  <c r="D62" i="14"/>
  <c r="D68" i="14"/>
  <c r="D101" i="14"/>
  <c r="D97" i="14"/>
  <c r="D102" i="14"/>
  <c r="D13" i="6"/>
  <c r="D9" i="6"/>
  <c r="O14" i="6"/>
  <c r="D7" i="6"/>
  <c r="D15" i="6"/>
  <c r="G4" i="6"/>
  <c r="G15" i="6"/>
  <c r="C10" i="2"/>
  <c r="S7" i="6"/>
  <c r="B10" i="4"/>
  <c r="C6" i="2"/>
  <c r="F133" i="3"/>
  <c r="F131" i="3"/>
  <c r="P5" i="4"/>
  <c r="F136" i="3"/>
  <c r="F128" i="3"/>
  <c r="F132" i="3"/>
  <c r="P10" i="4"/>
  <c r="P9" i="4"/>
  <c r="P7" i="4"/>
  <c r="F71" i="3"/>
  <c r="P8" i="4"/>
  <c r="P6" i="4"/>
  <c r="E73" i="3"/>
  <c r="F135" i="3"/>
  <c r="F130" i="3"/>
  <c r="F129" i="3"/>
  <c r="F127" i="3"/>
  <c r="F134" i="3"/>
  <c r="F72" i="3"/>
  <c r="F67" i="3"/>
  <c r="F69" i="3"/>
  <c r="F68" i="3"/>
  <c r="F70" i="3"/>
  <c r="D94" i="3"/>
  <c r="B11" i="4"/>
  <c r="D13" i="3"/>
  <c r="E94" i="3"/>
  <c r="F13" i="3"/>
  <c r="E13" i="3"/>
  <c r="E74" i="3"/>
  <c r="F93" i="3"/>
  <c r="D76" i="3"/>
  <c r="D48" i="14"/>
  <c r="S9" i="6"/>
  <c r="L4" i="20"/>
  <c r="P15" i="6"/>
  <c r="P14" i="6"/>
  <c r="S8" i="6"/>
  <c r="V7" i="6"/>
  <c r="B4" i="2"/>
  <c r="S10" i="6"/>
  <c r="S4" i="4"/>
  <c r="B9" i="2"/>
  <c r="D16" i="20"/>
  <c r="V9" i="6"/>
  <c r="L16" i="20"/>
  <c r="M4" i="4"/>
  <c r="L14" i="4"/>
  <c r="L23" i="20"/>
  <c r="D23" i="20"/>
  <c r="F77" i="3"/>
  <c r="F82" i="3"/>
  <c r="F78" i="3"/>
  <c r="F81" i="3"/>
  <c r="F80" i="3"/>
  <c r="F79" i="3"/>
  <c r="D6" i="20"/>
  <c r="F25" i="9"/>
  <c r="D14" i="6"/>
  <c r="G14" i="6"/>
  <c r="V11" i="6"/>
  <c r="V10" i="6"/>
  <c r="F83" i="3"/>
  <c r="S11" i="6"/>
  <c r="D4" i="20"/>
  <c r="C11" i="4"/>
  <c r="R11" i="4"/>
  <c r="C11" i="2"/>
  <c r="Q10" i="4"/>
  <c r="S10" i="4"/>
  <c r="D10" i="4"/>
  <c r="Q11" i="4"/>
  <c r="F73" i="3"/>
  <c r="B12" i="4"/>
  <c r="Q12" i="4"/>
  <c r="D95" i="3"/>
  <c r="D14" i="3"/>
  <c r="F94" i="3"/>
  <c r="F14" i="3"/>
  <c r="E75" i="3"/>
  <c r="E14" i="3"/>
  <c r="M22" i="20"/>
  <c r="C7" i="2"/>
  <c r="D7" i="2"/>
  <c r="I7" i="2"/>
  <c r="C9" i="2"/>
  <c r="D9" i="2"/>
  <c r="I9" i="2"/>
  <c r="C8" i="2"/>
  <c r="D8" i="2"/>
  <c r="I8" i="2"/>
  <c r="V8" i="6"/>
  <c r="S6" i="6"/>
  <c r="E23" i="20"/>
  <c r="M14" i="4"/>
  <c r="M15" i="4"/>
  <c r="M23" i="20"/>
  <c r="P4" i="4"/>
  <c r="D21" i="20"/>
  <c r="L21" i="20"/>
  <c r="E25" i="9"/>
  <c r="E3" i="9"/>
  <c r="L6" i="20"/>
  <c r="F3" i="9"/>
  <c r="D5" i="20"/>
  <c r="E5" i="20"/>
  <c r="E6" i="20"/>
  <c r="B10" i="2"/>
  <c r="D10" i="2"/>
  <c r="I10" i="2"/>
  <c r="D11" i="4"/>
  <c r="F95" i="3"/>
  <c r="E95" i="3"/>
  <c r="C12" i="4"/>
  <c r="B11" i="2"/>
  <c r="D11" i="2"/>
  <c r="I11" i="2"/>
  <c r="S11" i="4"/>
  <c r="E21" i="20"/>
  <c r="M21" i="20"/>
  <c r="F84" i="3"/>
  <c r="F74" i="3"/>
  <c r="B13" i="4"/>
  <c r="T14" i="4"/>
  <c r="D96" i="3"/>
  <c r="D15" i="3"/>
  <c r="F15" i="3"/>
  <c r="C13" i="4"/>
  <c r="E76" i="3"/>
  <c r="E15" i="3"/>
  <c r="E16" i="20"/>
  <c r="E17" i="20"/>
  <c r="M16" i="20"/>
  <c r="M17" i="20"/>
  <c r="S4" i="6"/>
  <c r="B6" i="2"/>
  <c r="V6" i="6"/>
  <c r="S5" i="6"/>
  <c r="J10" i="4"/>
  <c r="J4" i="4"/>
  <c r="J7" i="4"/>
  <c r="J9" i="4"/>
  <c r="J6" i="4"/>
  <c r="L20" i="20"/>
  <c r="D20" i="20"/>
  <c r="J8" i="4"/>
  <c r="J5" i="4"/>
  <c r="D3" i="20"/>
  <c r="E3" i="20"/>
  <c r="M6" i="20"/>
  <c r="L5" i="20"/>
  <c r="D38" i="11"/>
  <c r="D15" i="11"/>
  <c r="C9" i="11"/>
  <c r="C15" i="11"/>
  <c r="S13" i="6"/>
  <c r="Q14" i="6"/>
  <c r="T14" i="6"/>
  <c r="S12" i="6"/>
  <c r="V12" i="6"/>
  <c r="B12" i="2"/>
  <c r="F96" i="3"/>
  <c r="E96" i="3"/>
  <c r="N14" i="4"/>
  <c r="E14" i="2"/>
  <c r="R14" i="6"/>
  <c r="V13" i="6"/>
  <c r="C14" i="4"/>
  <c r="R13" i="4"/>
  <c r="R12" i="4"/>
  <c r="D12" i="4"/>
  <c r="Q13" i="4"/>
  <c r="B14" i="4"/>
  <c r="D13" i="4"/>
  <c r="F85" i="3"/>
  <c r="P12" i="4"/>
  <c r="P11" i="4"/>
  <c r="F75" i="3"/>
  <c r="E4" i="20"/>
  <c r="M4" i="20"/>
  <c r="V5" i="6"/>
  <c r="C5" i="2"/>
  <c r="D5" i="2"/>
  <c r="I5" i="2"/>
  <c r="D6" i="2"/>
  <c r="I6" i="2"/>
  <c r="V8" i="4"/>
  <c r="J8" i="2"/>
  <c r="V4" i="4"/>
  <c r="V6" i="4"/>
  <c r="J6" i="2"/>
  <c r="V7" i="4"/>
  <c r="J7" i="2"/>
  <c r="V5" i="4"/>
  <c r="J5" i="2"/>
  <c r="D19" i="20"/>
  <c r="V10" i="4"/>
  <c r="J10" i="2"/>
  <c r="L19" i="20"/>
  <c r="V9" i="4"/>
  <c r="J9" i="2"/>
  <c r="C38" i="11"/>
  <c r="D44" i="11"/>
  <c r="C44" i="11"/>
  <c r="M5" i="20"/>
  <c r="M3" i="20"/>
  <c r="L3" i="20"/>
  <c r="J4" i="6"/>
  <c r="I14" i="6"/>
  <c r="S15" i="6"/>
  <c r="S14" i="6"/>
  <c r="C13" i="2"/>
  <c r="C12" i="2"/>
  <c r="D12" i="2"/>
  <c r="I12" i="2"/>
  <c r="S12" i="4"/>
  <c r="R14" i="4"/>
  <c r="D15" i="4"/>
  <c r="D14" i="4"/>
  <c r="B13" i="2"/>
  <c r="B14" i="2"/>
  <c r="S13" i="4"/>
  <c r="Q14" i="4"/>
  <c r="J11" i="4"/>
  <c r="F86" i="3"/>
  <c r="F76" i="3"/>
  <c r="L15" i="20"/>
  <c r="D15" i="20"/>
  <c r="J4" i="2"/>
  <c r="C4" i="2"/>
  <c r="D4" i="2"/>
  <c r="I4" i="2"/>
  <c r="V4" i="6"/>
  <c r="U14" i="6"/>
  <c r="J15" i="6"/>
  <c r="J14" i="6"/>
  <c r="S15" i="4"/>
  <c r="S14" i="4"/>
  <c r="D13" i="2"/>
  <c r="I13" i="2"/>
  <c r="P13" i="4"/>
  <c r="O14" i="4"/>
  <c r="J11" i="2"/>
  <c r="V11" i="4"/>
  <c r="J12" i="4"/>
  <c r="E20" i="20"/>
  <c r="M20" i="20"/>
  <c r="C14" i="2"/>
  <c r="V15" i="6"/>
  <c r="V14" i="6"/>
  <c r="I14" i="2"/>
  <c r="J21" i="2"/>
  <c r="D14" i="2"/>
  <c r="V12" i="4"/>
  <c r="J12" i="2"/>
  <c r="P15" i="4"/>
  <c r="P14" i="4"/>
  <c r="I14" i="4"/>
  <c r="J13" i="4"/>
  <c r="J14" i="4"/>
  <c r="M15" i="20"/>
  <c r="M19" i="20"/>
  <c r="E15" i="20"/>
  <c r="E19" i="20"/>
  <c r="K4" i="2"/>
  <c r="J15" i="4"/>
  <c r="U14" i="4"/>
  <c r="V13" i="4"/>
  <c r="K5" i="2"/>
  <c r="K6" i="2"/>
  <c r="K7" i="2"/>
  <c r="K8" i="2"/>
  <c r="K9" i="2"/>
  <c r="K10" i="2"/>
  <c r="K11" i="2"/>
  <c r="K12" i="2"/>
  <c r="L4" i="2"/>
  <c r="F14" i="2"/>
  <c r="V15" i="4"/>
  <c r="J17" i="2"/>
  <c r="B2" i="7"/>
  <c r="V14" i="4"/>
  <c r="L5" i="2"/>
  <c r="L6" i="2"/>
  <c r="L7" i="2"/>
  <c r="L8" i="2"/>
  <c r="L9" i="2"/>
  <c r="L10" i="2"/>
  <c r="L11" i="2"/>
  <c r="L12" i="2"/>
  <c r="F7" i="7"/>
  <c r="I7" i="7"/>
  <c r="O7" i="7"/>
  <c r="L7" i="7"/>
  <c r="R7" i="7"/>
  <c r="C42" i="7"/>
  <c r="C26" i="7"/>
  <c r="C7" i="7"/>
  <c r="J13" i="2"/>
  <c r="G14" i="2"/>
  <c r="J14" i="2"/>
  <c r="J22" i="2"/>
  <c r="K13" i="2"/>
  <c r="L13" i="2"/>
</calcChain>
</file>

<file path=xl/comments1.xml><?xml version="1.0" encoding="utf-8"?>
<comments xmlns="http://schemas.openxmlformats.org/spreadsheetml/2006/main">
  <authors>
    <author>KPMG</author>
  </authors>
  <commentList>
    <comment ref="I14" authorId="0" shapeId="0">
      <text>
        <r>
          <rPr>
            <sz val="8"/>
            <color rgb="FF000000"/>
            <rFont val="Tahoma"/>
            <family val="2"/>
            <charset val="238"/>
          </rPr>
          <t xml:space="preserve">ocakavame zapornu hodnotu
</t>
        </r>
        <r>
          <rPr>
            <sz val="8"/>
            <color rgb="FF000000"/>
            <rFont val="Tahoma"/>
            <family val="2"/>
            <charset val="238"/>
          </rPr>
          <t xml:space="preserve">
</t>
        </r>
        <r>
          <rPr>
            <sz val="8"/>
            <color rgb="FF000000"/>
            <rFont val="Tahoma"/>
            <family val="2"/>
            <charset val="238"/>
          </rPr>
          <t>tato zaporna hodnota ma zodpovedat max. fin. pomoci z SF</t>
        </r>
      </text>
    </comment>
    <comment ref="J14" authorId="0" shapeId="0">
      <text>
        <r>
          <rPr>
            <sz val="8"/>
            <color rgb="FF000000"/>
            <rFont val="Tahoma"/>
            <family val="2"/>
            <charset val="238"/>
          </rPr>
          <t>ocakavame kladnu hodnotu (moze byt aj nizko nad nulou)</t>
        </r>
      </text>
    </comment>
  </commentList>
</comments>
</file>

<file path=xl/comments2.xml><?xml version="1.0" encoding="utf-8"?>
<comments xmlns="http://schemas.openxmlformats.org/spreadsheetml/2006/main">
  <authors>
    <author>test</author>
  </authors>
  <commentList>
    <comment ref="D35" authorId="0" shapeId="0">
      <text>
        <r>
          <rPr>
            <sz val="14"/>
            <color indexed="81"/>
            <rFont val="Tahoma"/>
            <family val="2"/>
          </rPr>
          <t>Autor: Riešenie plánujeme pre vývoj a testovanie realizovať vo vládnom cloude. Podľa splnenia bezpečnostných požiadaviek sa produkčné prostredie vyzužije vo vládnom cloude, alebo vo vlastnomdatacentre PPA</t>
        </r>
      </text>
    </comment>
  </commentList>
</comments>
</file>

<file path=xl/comments3.xml><?xml version="1.0" encoding="utf-8"?>
<comments xmlns="http://schemas.openxmlformats.org/spreadsheetml/2006/main">
  <authors>
    <author>Krok Martin</author>
  </authors>
  <commentList>
    <comment ref="AG12" authorId="0" shapeId="0">
      <text>
        <r>
          <rPr>
            <b/>
            <sz val="9"/>
            <color indexed="81"/>
            <rFont val="Segoe UI"/>
            <family val="2"/>
            <charset val="238"/>
          </rPr>
          <t>Krok Martin:</t>
        </r>
        <r>
          <rPr>
            <sz val="9"/>
            <color indexed="81"/>
            <rFont val="Segoe UI"/>
            <family val="2"/>
            <charset val="238"/>
          </rPr>
          <t xml:space="preserve">
Súčet by mal zodpoveď Investičným nákladom na vývoj aplikácií
 v Alternatíve 2</t>
        </r>
      </text>
    </comment>
    <comment ref="AH12" authorId="0" shapeId="0">
      <text>
        <r>
          <rPr>
            <b/>
            <sz val="9"/>
            <color indexed="81"/>
            <rFont val="Segoe UI"/>
            <family val="2"/>
            <charset val="238"/>
          </rPr>
          <t>Krok Martin:</t>
        </r>
        <r>
          <rPr>
            <sz val="9"/>
            <color indexed="81"/>
            <rFont val="Segoe UI"/>
            <family val="2"/>
            <charset val="238"/>
          </rPr>
          <t xml:space="preserve">
Súčet by mal zodpoveď Investičným nákladom na vývoj aplikácií
 v Alternatíve 2</t>
        </r>
      </text>
    </comment>
    <comment ref="AI12" authorId="0" shapeId="0">
      <text>
        <r>
          <rPr>
            <b/>
            <sz val="9"/>
            <color indexed="81"/>
            <rFont val="Segoe UI"/>
            <family val="2"/>
            <charset val="238"/>
          </rPr>
          <t>Krok Martin:</t>
        </r>
        <r>
          <rPr>
            <sz val="9"/>
            <color indexed="81"/>
            <rFont val="Segoe UI"/>
            <family val="2"/>
            <charset val="238"/>
          </rPr>
          <t xml:space="preserve">
Súčet by mal zodpoveď Investičným nákladom na vývoj aplikácií
 v Alternatíve 2</t>
        </r>
      </text>
    </comment>
    <comment ref="AP12" authorId="0" shapeId="0">
      <text>
        <r>
          <rPr>
            <b/>
            <sz val="9"/>
            <color indexed="81"/>
            <rFont val="Segoe UI"/>
            <family val="2"/>
            <charset val="238"/>
          </rPr>
          <t>Krok Martin:</t>
        </r>
        <r>
          <rPr>
            <sz val="9"/>
            <color indexed="81"/>
            <rFont val="Segoe UI"/>
            <family val="2"/>
            <charset val="238"/>
          </rPr>
          <t xml:space="preserve">
Súčet by mal zodpoveď Investičným nákladom na vývoj aplikácií
 v Alternatíve 2</t>
        </r>
      </text>
    </comment>
  </commentList>
</comments>
</file>

<file path=xl/sharedStrings.xml><?xml version="1.0" encoding="utf-8"?>
<sst xmlns="http://schemas.openxmlformats.org/spreadsheetml/2006/main" count="1507" uniqueCount="404">
  <si>
    <t>Názov</t>
  </si>
  <si>
    <t>Popis</t>
  </si>
  <si>
    <t>Hodnota</t>
  </si>
  <si>
    <t>Životnosť projektu (t)</t>
  </si>
  <si>
    <t>Referenčné obdobie je počet rokov, na ktorý sa vo finančnej analýze (analýze nákladov a výnosov) uvádzajú predpovede. Predpovede týkajúce sa budúceho trendu projektu by sa mali formulovať na obdobie, ktoré je primerané jeho ekonomicky užitočnému trvaniu a ktoré je dosť dlhé na to, aby zahŕňalo jeho pravdepodobné dlhodobejšie dosahy. Ide o časové obdobie, kedy je možné overiť úspešnosť investície. Trvanie sa mení podľa povahy investície. Referenčný časový horizont v rokoch podľa sektorov je uvedený podľa prílohy 1 Delegovaného nariadenia Komisie (EÚ) 480/2014 z 3. marca 2014, ktorým sa dopĺňa všeobecné nariadenie.</t>
  </si>
  <si>
    <t>Referenčná diskontná sadzba (i)</t>
  </si>
  <si>
    <t>Sociálna diskontná sadzba (r)</t>
  </si>
  <si>
    <t>Cieľom CBA je preukázať pri štrukturálne významných investíciách, že ekonomická čistá súčasná hodnota za dané obdobie a pri stanovenej sociálnej diskontnej sadzbe je kladná.</t>
  </si>
  <si>
    <t>Diskontovanie odhadovaných nákladov a prínosov: keď sa odhadne tok ekonomických nákladov a prínosov, mala by sa uplatniť štandardná diskontovaná metodika peňažného toku pomocou sociálnej diskontnej sadzby</t>
  </si>
  <si>
    <t>Osobné náklady (Cper)</t>
  </si>
  <si>
    <t>Jednotka</t>
  </si>
  <si>
    <t>rok</t>
  </si>
  <si>
    <t>%</t>
  </si>
  <si>
    <t>EUR</t>
  </si>
  <si>
    <t xml:space="preserve">Diskontná sadzba, ktorá sa má používať vo finančnej analýze má informovať investora o alternatívnych kapitálových nákladoch. Môže sa za ňu považovať ušlý výnos najlepšieho alternatívneho projektu.
V prípade verejných investičných projektov spolufinancovaných z fondov sa stanovuje 4 % finančná diskontná sadzbu pre výpočet čistej súčasnej hodnoty investície v stálych cenách roku predloženia žiadosti o NFP.
</t>
  </si>
  <si>
    <t>EUR/hod</t>
  </si>
  <si>
    <t>Čistá súčasná hodnota z projektu</t>
  </si>
  <si>
    <t>Finančné prínosy</t>
  </si>
  <si>
    <t>Ekonomické prínosy</t>
  </si>
  <si>
    <t>koeficient obdobia</t>
  </si>
  <si>
    <t>Finančná (FNPV)</t>
  </si>
  <si>
    <t>Ekonomická (ENPV)</t>
  </si>
  <si>
    <t>Kumulovaná diskont. návratnosť ENPV</t>
  </si>
  <si>
    <t>Obdobie</t>
  </si>
  <si>
    <t>rozdiel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</si>
  <si>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</si>
  <si>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</si>
  <si>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</si>
  <si>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</si>
  <si>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</si>
  <si>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</si>
  <si>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</si>
  <si>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</si>
  <si>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</si>
  <si>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</si>
  <si>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SPOLU</t>
  </si>
  <si>
    <t>Cashflow projektu</t>
  </si>
  <si>
    <t>počet / rok</t>
  </si>
  <si>
    <t>hod.</t>
  </si>
  <si>
    <t>Kvalitatívne prínosy</t>
  </si>
  <si>
    <t>Parameter</t>
  </si>
  <si>
    <t>Počet podaní</t>
  </si>
  <si>
    <t>Výška administratívneho poplatku</t>
  </si>
  <si>
    <t>Počet zamestnancov vybavujúcich agendu</t>
  </si>
  <si>
    <t>Priame prínosy</t>
  </si>
  <si>
    <t>Nepriame prínosy</t>
  </si>
  <si>
    <t>Prínosy spolu</t>
  </si>
  <si>
    <t>Administratívne poplatky</t>
  </si>
  <si>
    <t>Ostatné daňové a nedaňové príjmy</t>
  </si>
  <si>
    <t>Cena ušetreného času používateľa</t>
  </si>
  <si>
    <t>Kvalitatívne prínosy vo finančnom vyjadrení</t>
  </si>
  <si>
    <t>Organizácia</t>
  </si>
  <si>
    <t>Ulica</t>
  </si>
  <si>
    <t>PSČ</t>
  </si>
  <si>
    <t>Web</t>
  </si>
  <si>
    <t>IČO</t>
  </si>
  <si>
    <t>Spracovateľ</t>
  </si>
  <si>
    <t xml:space="preserve">Kontakt na spracovateľa    </t>
  </si>
  <si>
    <t>Hlavička tabuľky</t>
  </si>
  <si>
    <t>Popisná informácia</t>
  </si>
  <si>
    <t>Metodický pokyn k vypracovaniu finančnej analýzy projektu, analýzy nákladov a prínosov projektu a finančnej analýzy žiadateľa o NFP v programovom období 2014 – 2020.</t>
  </si>
  <si>
    <t>Jednotlivé informácie sú farebne odlíšené nasledovne:</t>
  </si>
  <si>
    <t>Automaticky vypočitavané hodnoty</t>
  </si>
  <si>
    <t>Miesto na vpisovanie vlastných hodnôt</t>
  </si>
  <si>
    <t>Preddefinované konštanty</t>
  </si>
  <si>
    <t>Pre projekty zamerané na služby agendových informačných systémov</t>
  </si>
  <si>
    <t>HW</t>
  </si>
  <si>
    <t>SW</t>
  </si>
  <si>
    <t>Všeobecný materiál</t>
  </si>
  <si>
    <t>Variabilné výdavky</t>
  </si>
  <si>
    <t>Výdavky spolu</t>
  </si>
  <si>
    <t>ENPV</t>
  </si>
  <si>
    <t>Obstaranie, inštalácia SW produktu vrátane licencie k SW</t>
  </si>
  <si>
    <t>013 Softvér</t>
  </si>
  <si>
    <t>Kód EKO klasifikácie</t>
  </si>
  <si>
    <t>Účet/skupina výdavkov</t>
  </si>
  <si>
    <t>Vytvorenie aplikácie</t>
  </si>
  <si>
    <t>Školenia spojené so SW a aplikáciou</t>
  </si>
  <si>
    <t>518 Ostatné služby</t>
  </si>
  <si>
    <t>Prevádzka vytvoreného riešenia</t>
  </si>
  <si>
    <t>Poplatky vlastníkovi SW produktu - údržba / support k licenciám</t>
  </si>
  <si>
    <t>511 Opravy a udržiavanie</t>
  </si>
  <si>
    <t>Upgrade SW produktu</t>
  </si>
  <si>
    <t>Poplatky za udržanie funkčnosti / dostupnosti aplikácie / update</t>
  </si>
  <si>
    <t>Aplikačná podpora / helpdesk</t>
  </si>
  <si>
    <t>Rozvoj - doplnenie funkcionality aplikácie / upgrade</t>
  </si>
  <si>
    <t>Personálne náklady spojené s prevádzkou SW produktu a aplikácie</t>
  </si>
  <si>
    <t>521 Mzdové výdavky</t>
  </si>
  <si>
    <t>Obstaranie</t>
  </si>
  <si>
    <t>Prevádzka riešenia</t>
  </si>
  <si>
    <t>Nákup, inštalácia a sprevádzkovanie HW 
vrátane systémového SW</t>
  </si>
  <si>
    <t>Nákup, inštalácia a sprevádzkovanie HW
 vrátane systémového SW</t>
  </si>
  <si>
    <t>Školenia spojené s HW</t>
  </si>
  <si>
    <t>022 Samostatné hnuteľné veci
 a súbory hnuteľných vecí</t>
  </si>
  <si>
    <t>Poplatky dodávateľovi podpory HW - údržba/maintenance</t>
  </si>
  <si>
    <t>Upgrade HW</t>
  </si>
  <si>
    <t>Náklady na priestory, energie</t>
  </si>
  <si>
    <t>Personálne náklady spojené s prevádzkou HW</t>
  </si>
  <si>
    <t>Náklady na obstaranie a prevádzku HW</t>
  </si>
  <si>
    <t>Náklady na obstaranie a prevádzku SW</t>
  </si>
  <si>
    <t>Celkové náklady na vlastníctvo (TCO)</t>
  </si>
  <si>
    <t>Rok</t>
  </si>
  <si>
    <t>HW sumár obstaranie</t>
  </si>
  <si>
    <t>HW sumár prevádzka</t>
  </si>
  <si>
    <t xml:space="preserve">Spolu </t>
  </si>
  <si>
    <t>Spolu</t>
  </si>
  <si>
    <t>SW produkty</t>
  </si>
  <si>
    <t>Aplikácie</t>
  </si>
  <si>
    <t>SW produkty - sumár obstaranie</t>
  </si>
  <si>
    <t>SW produkty - sumár prevádzka</t>
  </si>
  <si>
    <t>Aplikácie - sumár obstaranie</t>
  </si>
  <si>
    <t>Aplikácie - sumár prevádzka</t>
  </si>
  <si>
    <t xml:space="preserve">Prvý rok, ktorým výpočet CBA a TCO začína, rok začatia projektu </t>
  </si>
  <si>
    <t>Príloha pre výpočet TCO a čistej súčasnej hodnoty z projektu</t>
  </si>
  <si>
    <t>Názov riešenia</t>
  </si>
  <si>
    <t>112 Zásoby</t>
  </si>
  <si>
    <t>Náklady na existujúce riešenie
(pôvodné riešenie pred realizáciou projektu OP II), ktoré bolo nahradené</t>
  </si>
  <si>
    <t>Kód ISVS z MetaIS</t>
  </si>
  <si>
    <t>Číslo projektu ITMS</t>
  </si>
  <si>
    <t>Vytvorenie riešenia - obstaranie</t>
  </si>
  <si>
    <t>BCR</t>
  </si>
  <si>
    <t>Výstup/funkcionalita projektu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</si>
  <si>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</si>
  <si>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</si>
  <si>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</si>
  <si>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</si>
  <si>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</si>
  <si>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</si>
  <si>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</si>
  <si>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</si>
  <si>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</si>
  <si>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</si>
  <si>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</si>
  <si>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</si>
  <si>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</si>
  <si>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</si>
  <si>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</si>
  <si>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</si>
  <si>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</si>
  <si>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</si>
  <si>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</si>
  <si>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</si>
  <si>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</si>
  <si>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</si>
  <si>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M24</t>
  </si>
  <si>
    <t>Počet dní interné</t>
  </si>
  <si>
    <t>Počet dní externé</t>
  </si>
  <si>
    <t>Pocet FTE interne</t>
  </si>
  <si>
    <t>Pocet FTE externe</t>
  </si>
  <si>
    <t>Rate FTE interné</t>
  </si>
  <si>
    <t>Rate FTE externé</t>
  </si>
  <si>
    <t>Suma interné</t>
  </si>
  <si>
    <t>Suma externé</t>
  </si>
  <si>
    <t xml:space="preserve">   Nasadenie</t>
  </si>
  <si>
    <t>Publicita a informovanosť</t>
  </si>
  <si>
    <t xml:space="preserve">Projektové riadenie </t>
  </si>
  <si>
    <t>INDIKATÍVNY ROZPOČET SPOLU</t>
  </si>
  <si>
    <t>Rozdiel</t>
  </si>
  <si>
    <t>NPV</t>
  </si>
  <si>
    <t>HW (aj systémový SW) sumár obstaranie</t>
  </si>
  <si>
    <t>HW (aj systémový SW) sumár prevádzka</t>
  </si>
  <si>
    <t>Modul 2</t>
  </si>
  <si>
    <t>Modul 3</t>
  </si>
  <si>
    <t>Modul 4</t>
  </si>
  <si>
    <t>Modul N</t>
  </si>
  <si>
    <t>organizácia A</t>
  </si>
  <si>
    <t>organizácia B</t>
  </si>
  <si>
    <t>organizácia C</t>
  </si>
  <si>
    <t>TO BE</t>
  </si>
  <si>
    <t>organizácia ...</t>
  </si>
  <si>
    <t>Výsledná hodnota</t>
  </si>
  <si>
    <t>Všetky prínosové položky sú automaticky vypočítané na základe údajov uvedených v záložkách TCO, spotrebované cloudové služby a Parametre - Agendové IS</t>
  </si>
  <si>
    <t>Všetky výdavkové položky sú automaticky vypočítané na základe údajov uvedených v záložkách TCO a Parametre - Agendové IS</t>
  </si>
  <si>
    <t>FIRR</t>
  </si>
  <si>
    <t>EIRR</t>
  </si>
  <si>
    <t>FNPV</t>
  </si>
  <si>
    <t>pomer prínosov a nákladov</t>
  </si>
  <si>
    <t>finančná vnútorná výnosová miera (%)</t>
  </si>
  <si>
    <t>ekonomická vnútorná výnosová miera (%)</t>
  </si>
  <si>
    <t>Minimálna hodnota</t>
  </si>
  <si>
    <t>-</t>
  </si>
  <si>
    <t>Výsledok CBA</t>
  </si>
  <si>
    <t>Priemerná mzda vo verejnej správe (aktuálna, W_ps)</t>
  </si>
  <si>
    <t xml:space="preserve">Priemerná mzda v NH (Cperc) </t>
  </si>
  <si>
    <t>Náklady IT systém</t>
  </si>
  <si>
    <t>FTE úradník</t>
  </si>
  <si>
    <t>FTE</t>
  </si>
  <si>
    <t>Administrtívny poplatok</t>
  </si>
  <si>
    <t>človeko-hod.</t>
  </si>
  <si>
    <t>Cena ušetreného času používateľa
(S pravidlom polovice)</t>
  </si>
  <si>
    <t>Cena ušetreného času úradníka</t>
  </si>
  <si>
    <r>
      <t xml:space="preserve">Materiálové náklady na 1 podanie </t>
    </r>
    <r>
      <rPr>
        <i/>
        <sz val="11"/>
        <color theme="1"/>
        <rFont val="Calibri"/>
        <family val="2"/>
        <charset val="238"/>
        <scheme val="minor"/>
      </rPr>
      <t xml:space="preserve">(napr. Poštovné (0,83 EUR)+Tlač (0,02 EUR)+Papier (0,01 EUR)+Obálka (0,03 EUR). Zhotoviteľ štúdie doplní skutočné náklady)
</t>
    </r>
  </si>
  <si>
    <t>Materiálové náklady</t>
  </si>
  <si>
    <t>Náklady na budúce riešenie</t>
  </si>
  <si>
    <t>Čas potrebný na vypracovanie a doručenie podania (ušetrený čas používateľa)</t>
  </si>
  <si>
    <t>Zníženie kvalitatívnych prínosov</t>
  </si>
  <si>
    <t>Zníženie očakávaného ušetreného času úradníka</t>
  </si>
  <si>
    <t>Zníženie očakávaného ušetreného času používateľa</t>
  </si>
  <si>
    <t>Zníženie počtu podaní v budúcom stave</t>
  </si>
  <si>
    <t>Zvýšenie nákladov - TCO celkovo</t>
  </si>
  <si>
    <t>Zvýšenie CAPEX</t>
  </si>
  <si>
    <t>Minimálny počet MD</t>
  </si>
  <si>
    <t>Maximálny počet MD</t>
  </si>
  <si>
    <t>Priemerný MD rate</t>
  </si>
  <si>
    <t xml:space="preserve">Modul 1 </t>
  </si>
  <si>
    <t>Maximálna suma</t>
  </si>
  <si>
    <t>Minimálna suma</t>
  </si>
  <si>
    <t>Vyplní oslovený dodávateľ</t>
  </si>
  <si>
    <t>Ročná prevádzka celého systému (SLA) vrátane zmenových konaní</t>
  </si>
  <si>
    <t>Vyplní spracovateľ projektu</t>
  </si>
  <si>
    <t>Výstup/funkcionalita projektu
(všetky náklady vrátane analýzy, dizajnu, testovania a nasadenia)</t>
  </si>
  <si>
    <t>Vysvetlenie rozptylu medzi minimálnou a maximálnou sumou 
(nepovinné)</t>
  </si>
  <si>
    <t>Rozdiel v nákladoch medzi existujúcim a navrhovaným riešením</t>
  </si>
  <si>
    <t>Prínosy</t>
  </si>
  <si>
    <t xml:space="preserve">Úradníci (€) </t>
  </si>
  <si>
    <t>Občania (€)</t>
  </si>
  <si>
    <t>Úradníci (FTE)</t>
  </si>
  <si>
    <t>IT - CAPEX</t>
  </si>
  <si>
    <t>IT - OPEX</t>
  </si>
  <si>
    <t>N/A</t>
  </si>
  <si>
    <t>Nevyčíslené spoločenské prínosy</t>
  </si>
  <si>
    <t>...</t>
  </si>
  <si>
    <t>Aplikačný modul - SW a Aplikácie</t>
  </si>
  <si>
    <t>Aplikačný modul - HW</t>
  </si>
  <si>
    <t>(prosíme doplniť)...</t>
  </si>
  <si>
    <r>
      <t xml:space="preserve">Sem prosím vložte procesnú mapu stavu </t>
    </r>
    <r>
      <rPr>
        <b/>
        <sz val="11"/>
        <color theme="1"/>
        <rFont val="Calibri"/>
        <family val="2"/>
        <charset val="238"/>
        <scheme val="minor"/>
      </rPr>
      <t>AS IS</t>
    </r>
    <r>
      <rPr>
        <sz val="11"/>
        <color theme="1"/>
        <rFont val="Calibri"/>
        <family val="2"/>
        <charset val="238"/>
        <scheme val="minor"/>
      </rPr>
      <t xml:space="preserve"> a stavu </t>
    </r>
    <r>
      <rPr>
        <b/>
        <sz val="11"/>
        <color theme="1"/>
        <rFont val="Calibri"/>
        <family val="2"/>
        <charset val="238"/>
        <scheme val="minor"/>
      </rPr>
      <t>TO BE</t>
    </r>
  </si>
  <si>
    <t>napr.</t>
  </si>
  <si>
    <t>AS IS</t>
  </si>
  <si>
    <t>Procesy na strane úradníka (časové hodnoty)</t>
  </si>
  <si>
    <t>Zdroj</t>
  </si>
  <si>
    <t>Meranie č. 1</t>
  </si>
  <si>
    <t>Meranie č. 2</t>
  </si>
  <si>
    <t>Meranie č. 3</t>
  </si>
  <si>
    <t>Meranie č. 4</t>
  </si>
  <si>
    <t>Meranie č. 5</t>
  </si>
  <si>
    <t>Meranie č. 6</t>
  </si>
  <si>
    <t>Meranie č. 7</t>
  </si>
  <si>
    <t>Meranie č. 8</t>
  </si>
  <si>
    <t>Meranie č. 9</t>
  </si>
  <si>
    <t>Meranie č. 10</t>
  </si>
  <si>
    <t>Meranie č. 11</t>
  </si>
  <si>
    <t>Meranie č. 12</t>
  </si>
  <si>
    <t>Meranie č. 13</t>
  </si>
  <si>
    <t>Meranie č. 14</t>
  </si>
  <si>
    <t>Meranie č. 15</t>
  </si>
  <si>
    <t>Meranie č. 16</t>
  </si>
  <si>
    <t>Meranie č. 17</t>
  </si>
  <si>
    <t>Meranie č. 18</t>
  </si>
  <si>
    <t>Meranie č. 19</t>
  </si>
  <si>
    <t>Meranie č. 20</t>
  </si>
  <si>
    <t>Meranie č. 21</t>
  </si>
  <si>
    <t>Meranie č. 22</t>
  </si>
  <si>
    <t>Meranie č. 23</t>
  </si>
  <si>
    <t>Meranie č. 24</t>
  </si>
  <si>
    <t>Meranie č. 25</t>
  </si>
  <si>
    <t>Meranie č. 26</t>
  </si>
  <si>
    <t>Meranie č. 27</t>
  </si>
  <si>
    <t>Meranie č. 28</t>
  </si>
  <si>
    <t>Meranie č. 29</t>
  </si>
  <si>
    <t>Meranie č. 30</t>
  </si>
  <si>
    <t>Procesy na strane občana (časové hodnoty)</t>
  </si>
  <si>
    <t>prosím doplňte časové trvanie aktivity (vložením "1")</t>
  </si>
  <si>
    <t>Zoznam hárkov s vysvetlením a pokynmi</t>
  </si>
  <si>
    <t>Sumarizácia</t>
  </si>
  <si>
    <t>CBA</t>
  </si>
  <si>
    <t>Analyza citlivosti</t>
  </si>
  <si>
    <t>Výdavky</t>
  </si>
  <si>
    <t>Parametre</t>
  </si>
  <si>
    <t>TCO</t>
  </si>
  <si>
    <t>TCO Alt. 1 - SW</t>
  </si>
  <si>
    <t>TCO Alt. 1 - HW</t>
  </si>
  <si>
    <t>TCO Alt. 2 - SW</t>
  </si>
  <si>
    <t>TCO Alt. 2 - HW</t>
  </si>
  <si>
    <t>Rozpočet - vývoj aplikácii</t>
  </si>
  <si>
    <t>Rozdiel
(voči min. riešenia navrhovaneho obstarávateĹom)</t>
  </si>
  <si>
    <t>Popis zmien v alternatívnom riešení
(nepovinné)</t>
  </si>
  <si>
    <t>Alternatívne riešeine
(nepovinné)</t>
  </si>
  <si>
    <t>Riešenie navrhované obstarávateľom</t>
  </si>
  <si>
    <t>Slepý rozpočet</t>
  </si>
  <si>
    <t>Faktory</t>
  </si>
  <si>
    <t>Meranie prínosov</t>
  </si>
  <si>
    <t>Procesné mapy</t>
  </si>
  <si>
    <t>Procesy AS IS</t>
  </si>
  <si>
    <t>Procesy TO BE</t>
  </si>
  <si>
    <t>Hárok</t>
  </si>
  <si>
    <t>Účel hárku</t>
  </si>
  <si>
    <t>Vymenovanie a popísanie nevyčíslených spoločenských prínosov</t>
  </si>
  <si>
    <t>Sumarizácia výsledkov CBA podľa prínosov a modulov</t>
  </si>
  <si>
    <t>Výsledky CBA na agregátnej úrovni, výpočet BCR</t>
  </si>
  <si>
    <t>Žiadne</t>
  </si>
  <si>
    <t>Vstupy od zhotoviteľa (žlté polia)</t>
  </si>
  <si>
    <t>Automatický výpočet citlivosti výsledkov CBA na zmeny parametrov</t>
  </si>
  <si>
    <t>Výpočet prínosov projektu na základe vstupných parametrov</t>
  </si>
  <si>
    <t>Výpočet výdavkov projektu na základe vstupných parametrov</t>
  </si>
  <si>
    <t>Polia "Ostatné daňové a nedaňové príjmy" (ak projekt také generuje)</t>
  </si>
  <si>
    <t>Vstupné parametre pre jednotlivé moduly/životné situácie: počty podaní, trvania času</t>
  </si>
  <si>
    <t>Všetky relevantné žlté polia</t>
  </si>
  <si>
    <t>Zhrnutie celkových nákladov na vlastníctvo oboch alternatív projektu</t>
  </si>
  <si>
    <t xml:space="preserve">Náklady na vlastníctvo softvéru alternatívy 1 (AS IS) </t>
  </si>
  <si>
    <t xml:space="preserve">Náklady na vlastníctvo hardvéru alternatívy 1 (AS IS) </t>
  </si>
  <si>
    <t xml:space="preserve">Náklady na vlastníctvo softvéru alternatívy 2 (TO BE) </t>
  </si>
  <si>
    <t>Náklady na vlastníctvo hardvéru alternatívy 2 (TO BE)</t>
  </si>
  <si>
    <t>Všetky relevantné žlté polia a časové trvanie projektu</t>
  </si>
  <si>
    <t>Vyplnia dodávateľia, oslovení v procese trhovej konzultácie</t>
  </si>
  <si>
    <t>Zoznam modulov s ich opisom a harmonogramom</t>
  </si>
  <si>
    <t>Spoločné vstupné parametre pre ocenenie prínosov a výpočet CBA</t>
  </si>
  <si>
    <t>Aktuálne priemerné mzdy v hospodárstve podľa ŠÚ SR, rok začiatku projektu</t>
  </si>
  <si>
    <t xml:space="preserve">Slúži na rozdelenie prínosov podľa jednotlivých úradov (ak je to možné) 
a na ex-post monitorovanie dosahovania prínosov. </t>
  </si>
  <si>
    <t xml:space="preserve">V procese prípravy štúdie vyplní iba žlté stĺpce označené ako "Alt. 2", ktoré rozdeľujú prínosy podľa úradov </t>
  </si>
  <si>
    <t>Procesné mapy súčasného a budúceho stavu biznis procesov.</t>
  </si>
  <si>
    <t>Procesné mapy ako obrázky.</t>
  </si>
  <si>
    <t xml:space="preserve">Zdroj dát pre odhad časovej náročnosti súčasných procesov. </t>
  </si>
  <si>
    <t xml:space="preserve">Zdroj dát pre odhad časovej náročnosti budúcich procesov. </t>
  </si>
  <si>
    <t>Relevantné merania podľa procesov a procesných krokov.</t>
  </si>
  <si>
    <t>Riadenie projektu</t>
  </si>
  <si>
    <t xml:space="preserve">   Analýza a dizajn</t>
  </si>
  <si>
    <t>Riadenie a publicita</t>
  </si>
  <si>
    <t>Projektové riadenie</t>
  </si>
  <si>
    <t>Počet podaní / volaní</t>
  </si>
  <si>
    <t>Priemerná mesačná hrubá mzda vo verejnej správe za 1. - 4. Q./2017 (obdobie aktualizovať k času predloženia dokumentu), podľa ŠÚ SR</t>
  </si>
  <si>
    <t>Priemerná mesačná hrubá mzda v národnom hospodárstve SR za 1. - 4. Q./2017 (obdobie aktualizovať k času predloženia dokumentu), podľa ŠÚ SR</t>
  </si>
  <si>
    <t>Fond pracovnej doby - VS (FPDvs)</t>
  </si>
  <si>
    <t>hod/rok</t>
  </si>
  <si>
    <t>Fond pracovnej doby - NH (FPDnh)</t>
  </si>
  <si>
    <t xml:space="preserve">Cper = (W_ps * Odvody) / Fond pracovnej doby. Odvody (SP, ZP, DP) sú 35,2%“. Osobné náklady sú faktorom prevádzkových variabilných nákladov.
</t>
  </si>
  <si>
    <t>Rok 2019 má dokopy 250 pracovných dní, t.j. 2000 pracovných hodín. S platenými sviatkami má rok 261 pracovných dní, t.j. 2088 pracovných hodín.. 8 hodinový pracovný čas (obdobie aktualizovať k času predloženia dokumentu), podľa https://calendar.zoznam.sk/worktime-sksk.php?hy=2019</t>
  </si>
  <si>
    <t>Rok 2019 má dokopy 250 pracovných dní, t.j. 1875 pracovných hodín. S platenými sviatkami má rok 261 pracovných dní, t.j. 1957.5 pracovných hodín. 7,5 hodinový pracovný čas (obdobie aktualizovať k času predloženia dokumentu), podľa https://calendar.zoznam.sk/worktime-sksk.php?hy=2019</t>
  </si>
  <si>
    <t>Položka</t>
  </si>
  <si>
    <t>Merná jednotka</t>
  </si>
  <si>
    <t>Počet</t>
  </si>
  <si>
    <t>Jednotková cena (eur)</t>
  </si>
  <si>
    <t>Celková suma (eur)</t>
  </si>
  <si>
    <t>Zdroj ceny</t>
  </si>
  <si>
    <t>ks</t>
  </si>
  <si>
    <t>Rozpočet - HW a licencie</t>
  </si>
  <si>
    <t>Detailný rozpočet pre vývoj navrhovaného riešenia (TO BE)</t>
  </si>
  <si>
    <t>Položkový rozpočet pre nákup licencií a HW (TO BE)</t>
  </si>
  <si>
    <t>Nákup krabicového SW</t>
  </si>
  <si>
    <t>Dodatočná úprava krabicového SW / Vývoj riešenia</t>
  </si>
  <si>
    <t>Názov SW</t>
  </si>
  <si>
    <t>počet kusov</t>
  </si>
  <si>
    <t>Cena za kus</t>
  </si>
  <si>
    <t>Cena spolu</t>
  </si>
  <si>
    <t>637003/637004</t>
  </si>
  <si>
    <t>Výstupné náklady</t>
  </si>
  <si>
    <t>Zmluvné poplaky</t>
  </si>
  <si>
    <t>Technologické požiadavky</t>
  </si>
  <si>
    <t>SW a Aplikácie - výstupné náklady</t>
  </si>
  <si>
    <t>SW a Aplikácie - Výstupné náklady</t>
  </si>
  <si>
    <t>Popis
(Vrátane zdôvodnenia zvoleného technologického variantu - IaaS, PaaS, vývoj vlastnej aplikácie, COTS riešenie)</t>
  </si>
  <si>
    <t>Aho</t>
  </si>
  <si>
    <t>Koncová služba</t>
  </si>
  <si>
    <t>TO BE - AS IS (€, NPV)</t>
  </si>
  <si>
    <t>TO BE - AS IS (€, SUM)</t>
  </si>
  <si>
    <t>Kontrola TO BE</t>
  </si>
  <si>
    <t>Finančný cashflow (s DPH)</t>
  </si>
  <si>
    <t>Ekonomický cashflow (bez DPH)</t>
  </si>
  <si>
    <t>Náklady s DPH</t>
  </si>
  <si>
    <t>ekonomická čistá súčasná hodnota (eur bez DPH)</t>
  </si>
  <si>
    <t>finančná čistá súčasná hodnota (eur s DPH)</t>
  </si>
  <si>
    <t>Pôdohospodárska platobná agentúra</t>
  </si>
  <si>
    <t xml:space="preserve">Hraničná 4826/12 </t>
  </si>
  <si>
    <t xml:space="preserve"> 81526 Bratislava</t>
  </si>
  <si>
    <t>https://www.apa.sk</t>
  </si>
  <si>
    <t>30794323</t>
  </si>
  <si>
    <t>Neprojektove opatrenia podpory</t>
  </si>
  <si>
    <t>Projektove podpory</t>
  </si>
  <si>
    <t xml:space="preserve">Vyzva dop. projektu </t>
  </si>
  <si>
    <t>peter.lukac@apa.sk</t>
  </si>
  <si>
    <t>Priame platby</t>
  </si>
  <si>
    <t xml:space="preserve">   Implementácia</t>
  </si>
  <si>
    <t xml:space="preserve">   Testovanie</t>
  </si>
  <si>
    <t>Procesy PPA po zavedení manažmentu údajov ostanú na vrcholnej úrovni bezo zmeny nakoľko údaje budú dopĺnane z registrov.</t>
  </si>
  <si>
    <t>Priame podpory</t>
  </si>
  <si>
    <t>Neprojektove oaptrenia</t>
  </si>
  <si>
    <t>Prijem žiadosti</t>
  </si>
  <si>
    <t>Administrácia žiadosti</t>
  </si>
  <si>
    <t>Kontroly</t>
  </si>
  <si>
    <t>Platby</t>
  </si>
  <si>
    <t>Kompletizácia podania</t>
  </si>
  <si>
    <t xml:space="preserve">Sučinnosť pri kotnrolach </t>
  </si>
  <si>
    <t>Žioadosti o platbu</t>
  </si>
  <si>
    <t>Interné hodnotenie ľudskych zdrojov - projekt navýšenia počtu zamestancov</t>
  </si>
  <si>
    <t>Sučinnosť pri kontrolach, poskytnutie podkladov</t>
  </si>
  <si>
    <t xml:space="preserve">Interný odhad po implementacii projektu </t>
  </si>
  <si>
    <t>Projekt</t>
  </si>
  <si>
    <t xml:space="preserve">   Riadenie projektu</t>
  </si>
  <si>
    <t>IT architekt</t>
  </si>
  <si>
    <t>Projektový manažér</t>
  </si>
  <si>
    <t>Sub</t>
  </si>
  <si>
    <t>SAS</t>
  </si>
  <si>
    <t>uz obstarane</t>
  </si>
  <si>
    <t>navysenie kvoli novej funkcionalite</t>
  </si>
  <si>
    <t>Agendovy system SAS</t>
  </si>
  <si>
    <t>Trvanie kontroly žiadosti  (ušetrený čas úradníka)</t>
  </si>
  <si>
    <t>SAS Detection and Investigation for Government</t>
  </si>
  <si>
    <t>Odhad časovej naročnosti pri kontrole</t>
  </si>
  <si>
    <t>Aktivita</t>
  </si>
  <si>
    <t xml:space="preserve">Konzultant </t>
  </si>
  <si>
    <t xml:space="preserve">Analytik </t>
  </si>
  <si>
    <t>Programátor</t>
  </si>
  <si>
    <t xml:space="preserve">SU-MD-su_490 </t>
  </si>
  <si>
    <t>Peter Lukáč</t>
  </si>
  <si>
    <t>Rozvoj rizikovej analýzy a implementácia antifraudového systému v agendových IS PPA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</si>
</sst>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\ _€_-;\-* #,##0\ _€_-;_-* &quot;-&quot;??\ _€_-;_-@_-"/>
    <numFmt numFmtId="166" formatCode="0.0%"/>
    <numFmt numFmtId="167" formatCode="#,##0_ ;\-#,##0;\-;@"/>
    <numFmt numFmtId="168" formatCode="0.00;\-0.00;\-;@"/>
  </numFmts>
  <fonts count="7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11"/>
      <name val="Calibri"/>
      <family val="2"/>
      <charset val="238"/>
      <scheme val="minor"/>
    </font>
    <font>
      <sz val="11"/>
      <name val="Arial Narrow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indexed="18"/>
      <name val="Arial"/>
      <family val="2"/>
      <charset val="238"/>
    </font>
    <font>
      <sz val="11"/>
      <color theme="1"/>
      <name val="Calibri"/>
      <family val="2"/>
      <charset val="238"/>
    </font>
    <font>
      <b/>
      <sz val="24"/>
      <color rgb="FF000000"/>
      <name val="Calibri"/>
      <family val="2"/>
      <charset val="238"/>
    </font>
    <font>
      <b/>
      <sz val="11"/>
      <color rgb="FF000000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i/>
      <sz val="8"/>
      <color rgb="FF000000"/>
      <name val="Arial Narrow"/>
      <family val="2"/>
      <charset val="238"/>
    </font>
    <font>
      <b/>
      <sz val="8"/>
      <color rgb="FFFA7D00"/>
      <name val="Calibri"/>
      <family val="2"/>
      <charset val="238"/>
      <scheme val="minor"/>
    </font>
    <font>
      <sz val="9"/>
      <color rgb="FF006100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9"/>
      <color theme="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9"/>
      <color theme="2" tint="-0.249977111117893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rgb="FFFA7D00"/>
      <name val="Calibri"/>
      <family val="2"/>
      <charset val="238"/>
      <scheme val="minor"/>
    </font>
    <font>
      <sz val="8"/>
      <color rgb="FFFA7D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sz val="9"/>
      <color theme="0" tint="-0.499984740745262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11"/>
      <color rgb="FF006100"/>
      <name val="Arial Narrow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6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5" tint="-0.249977111117893"/>
      <name val="Arial"/>
      <family val="2"/>
      <charset val="238"/>
    </font>
    <font>
      <sz val="11"/>
      <color theme="5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1"/>
      <color theme="5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sz val="11"/>
      <color theme="5" tint="-0.499984740745262"/>
      <name val="Calibri"/>
      <family val="2"/>
      <charset val="238"/>
      <scheme val="minor"/>
    </font>
    <font>
      <b/>
      <sz val="11"/>
      <color theme="5" tint="-0.499984740745262"/>
      <name val="Calibri"/>
      <family val="2"/>
      <charset val="238"/>
      <scheme val="minor"/>
    </font>
    <font>
      <sz val="9"/>
      <color theme="5" tint="-0.249977111117893"/>
      <name val="Calibri"/>
      <family val="2"/>
      <charset val="238"/>
      <scheme val="minor"/>
    </font>
    <font>
      <b/>
      <sz val="9"/>
      <color theme="5" tint="-0.249977111117893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000000"/>
      <name val="Tahoma"/>
      <family val="2"/>
      <charset val="238"/>
    </font>
    <font>
      <b/>
      <sz val="11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i/>
      <sz val="11"/>
      <color theme="1"/>
      <name val="Arial Narrow"/>
      <family val="2"/>
    </font>
    <font>
      <i/>
      <sz val="10"/>
      <color theme="1"/>
      <name val="Arial Narrow"/>
      <family val="2"/>
    </font>
    <font>
      <sz val="14"/>
      <color indexed="81"/>
      <name val="Tahoma"/>
      <family val="2"/>
    </font>
    <font>
      <sz val="8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63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auto="1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medium">
        <color auto="1"/>
      </right>
      <top style="medium">
        <color auto="1"/>
      </top>
      <bottom style="thin">
        <color rgb="FF7F7F7F"/>
      </bottom>
      <diagonal/>
    </border>
    <border>
      <left style="medium">
        <color auto="1"/>
      </left>
      <right style="thin">
        <color rgb="FF7F7F7F"/>
      </right>
      <top style="thin">
        <color rgb="FF7F7F7F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auto="1"/>
      </bottom>
      <diagonal/>
    </border>
    <border>
      <left style="thin">
        <color rgb="FF7F7F7F"/>
      </left>
      <right style="medium">
        <color auto="1"/>
      </right>
      <top style="thin">
        <color rgb="FF7F7F7F"/>
      </top>
      <bottom style="medium">
        <color auto="1"/>
      </bottom>
      <diagonal/>
    </border>
    <border>
      <left/>
      <right style="thin">
        <color rgb="FF7F7F7F"/>
      </right>
      <top style="thin">
        <color rgb="FF7F7F7F"/>
      </top>
      <bottom style="medium">
        <color auto="1"/>
      </bottom>
      <diagonal/>
    </border>
    <border>
      <left style="medium">
        <color auto="1"/>
      </left>
      <right style="thin">
        <color rgb="FF7F7F7F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/>
      <bottom style="medium">
        <color auto="1"/>
      </bottom>
      <diagonal/>
    </border>
    <border>
      <left style="thin">
        <color rgb="FF7F7F7F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medium">
        <color auto="1"/>
      </right>
      <top/>
      <bottom style="thin">
        <color rgb="FF7F7F7F"/>
      </bottom>
      <diagonal/>
    </border>
    <border>
      <left/>
      <right style="thin">
        <color rgb="FF7F7F7F"/>
      </right>
      <top style="medium">
        <color auto="1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medium">
        <color auto="1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medium">
        <color auto="1"/>
      </top>
      <bottom style="thin">
        <color rgb="FFB2B2B2"/>
      </bottom>
      <diagonal/>
    </border>
    <border>
      <left style="thin">
        <color rgb="FFB2B2B2"/>
      </left>
      <right style="medium">
        <color auto="1"/>
      </right>
      <top style="medium">
        <color auto="1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medium">
        <color auto="1"/>
      </left>
      <right style="thin">
        <color rgb="FF7F7F7F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 style="medium">
        <color auto="1"/>
      </right>
      <top style="medium">
        <color auto="1"/>
      </top>
      <bottom style="thin">
        <color rgb="FF7F7F7F"/>
      </bottom>
      <diagonal/>
    </border>
    <border>
      <left/>
      <right style="medium">
        <color auto="1"/>
      </right>
      <top style="thin">
        <color rgb="FF7F7F7F"/>
      </top>
      <bottom style="thin">
        <color rgb="FF7F7F7F"/>
      </bottom>
      <diagonal/>
    </border>
    <border>
      <left/>
      <right style="medium">
        <color auto="1"/>
      </right>
      <top style="thin">
        <color rgb="FF7F7F7F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7F7F7F"/>
      </bottom>
      <diagonal/>
    </border>
    <border>
      <left style="medium">
        <color auto="1"/>
      </left>
      <right style="medium">
        <color auto="1"/>
      </right>
      <top style="thin">
        <color rgb="FF7F7F7F"/>
      </top>
      <bottom style="thin">
        <color rgb="FF7F7F7F"/>
      </bottom>
      <diagonal/>
    </border>
    <border>
      <left style="medium">
        <color auto="1"/>
      </left>
      <right style="medium">
        <color auto="1"/>
      </right>
      <top style="thin">
        <color rgb="FF7F7F7F"/>
      </top>
      <bottom/>
      <diagonal/>
    </border>
    <border>
      <left/>
      <right style="thin">
        <color rgb="FFB2B2B2"/>
      </right>
      <top style="medium">
        <color auto="1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7F7F7F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7F7F7F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B2B2B2"/>
      </bottom>
      <diagonal/>
    </border>
    <border>
      <left style="medium">
        <color auto="1"/>
      </left>
      <right style="medium">
        <color auto="1"/>
      </right>
      <top style="thin">
        <color rgb="FFB2B2B2"/>
      </top>
      <bottom style="medium">
        <color auto="1"/>
      </bottom>
      <diagonal/>
    </border>
    <border>
      <left style="medium">
        <color auto="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auto="1"/>
      </right>
      <top style="thin">
        <color rgb="FF7F7F7F"/>
      </top>
      <bottom style="medium">
        <color auto="1"/>
      </bottom>
      <diagonal/>
    </border>
    <border>
      <left style="medium">
        <color auto="1"/>
      </left>
      <right style="thin">
        <color rgb="FF7F7F7F"/>
      </right>
      <top style="medium">
        <color auto="1"/>
      </top>
      <bottom style="thin">
        <color rgb="FF7F7F7F"/>
      </bottom>
      <diagonal/>
    </border>
    <border>
      <left style="medium">
        <color auto="1"/>
      </left>
      <right style="thin">
        <color rgb="FF7F7F7F"/>
      </right>
      <top/>
      <bottom style="thin">
        <color rgb="FF7F7F7F"/>
      </bottom>
      <diagonal/>
    </border>
    <border>
      <left style="thin">
        <color rgb="FFB2B2B2"/>
      </left>
      <right/>
      <top style="medium">
        <color auto="1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medium">
        <color auto="1"/>
      </right>
      <top style="thin">
        <color auto="1"/>
      </top>
      <bottom style="thin">
        <color rgb="FF7F7F7F"/>
      </bottom>
      <diagonal/>
    </border>
    <border>
      <left style="thin">
        <color rgb="FF7F7F7F"/>
      </left>
      <right style="medium">
        <color auto="1"/>
      </right>
      <top style="thin">
        <color rgb="FF7F7F7F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medium">
        <color auto="1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medium">
        <color auto="1"/>
      </top>
      <bottom style="thin">
        <color rgb="FF7F7F7F"/>
      </bottom>
      <diagonal/>
    </border>
    <border>
      <left style="thin">
        <color rgb="FF7F7F7F"/>
      </left>
      <right style="medium">
        <color auto="1"/>
      </right>
      <top style="medium">
        <color auto="1"/>
      </top>
      <bottom/>
      <diagonal/>
    </border>
    <border>
      <left style="thin">
        <color rgb="FF7F7F7F"/>
      </left>
      <right/>
      <top style="thin">
        <color rgb="FF7F7F7F"/>
      </top>
      <bottom style="medium">
        <color auto="1"/>
      </bottom>
      <diagonal/>
    </border>
    <border>
      <left style="thin">
        <color rgb="FF7F7F7F"/>
      </left>
      <right/>
      <top style="medium">
        <color auto="1"/>
      </top>
      <bottom/>
      <diagonal/>
    </border>
    <border>
      <left style="medium">
        <color auto="1"/>
      </left>
      <right style="thin">
        <color rgb="FF7F7F7F"/>
      </right>
      <top style="medium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medium">
        <color auto="1"/>
      </top>
      <bottom style="thin">
        <color auto="1"/>
      </bottom>
      <diagonal/>
    </border>
    <border>
      <left style="thin">
        <color rgb="FF7F7F7F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auto="1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auto="1"/>
      </left>
      <right style="thin">
        <color theme="2" tint="-0.249977111117893"/>
      </right>
      <top style="thin">
        <color theme="2" tint="-0.249977111117893"/>
      </top>
      <bottom style="medium">
        <color auto="1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medium">
        <color auto="1"/>
      </bottom>
      <diagonal/>
    </border>
    <border>
      <left style="thin">
        <color theme="2" tint="-0.249977111117893"/>
      </left>
      <right style="medium">
        <color auto="1"/>
      </right>
      <top style="thin">
        <color theme="2" tint="-0.249977111117893"/>
      </top>
      <bottom style="medium">
        <color auto="1"/>
      </bottom>
      <diagonal/>
    </border>
    <border>
      <left style="thin">
        <color theme="2" tint="-0.249977111117893"/>
      </left>
      <right style="medium">
        <color auto="1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auto="1"/>
      </left>
      <right style="medium">
        <color auto="1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medium">
        <color auto="1"/>
      </right>
      <top/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medium">
        <color auto="1"/>
      </bottom>
      <diagonal/>
    </border>
    <border>
      <left/>
      <right/>
      <top style="thin">
        <color theme="0" tint="-0.24994659260841701"/>
      </top>
      <bottom style="medium">
        <color auto="1"/>
      </bottom>
      <diagonal/>
    </border>
    <border>
      <left/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 style="medium">
        <color auto="1"/>
      </left>
      <right style="medium">
        <color auto="1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 style="medium">
        <color auto="1"/>
      </left>
      <right style="thin">
        <color theme="2" tint="-0.24994659260841701"/>
      </right>
      <top style="medium">
        <color auto="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auto="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auto="1"/>
      </right>
      <top style="medium">
        <color auto="1"/>
      </top>
      <bottom style="thin">
        <color theme="2" tint="-0.24994659260841701"/>
      </bottom>
      <diagonal/>
    </border>
    <border>
      <left style="medium">
        <color auto="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auto="1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auto="1"/>
      </left>
      <right style="thin">
        <color theme="2" tint="-0.24994659260841701"/>
      </right>
      <top style="thin">
        <color theme="2" tint="-0.24994659260841701"/>
      </top>
      <bottom style="medium">
        <color auto="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medium">
        <color auto="1"/>
      </bottom>
      <diagonal/>
    </border>
    <border>
      <left style="thin">
        <color theme="2" tint="-0.24994659260841701"/>
      </left>
      <right style="medium">
        <color auto="1"/>
      </right>
      <top style="thin">
        <color theme="2" tint="-0.2499465926084170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2">
    <xf numFmtId="0" fontId="0" fillId="0" borderId="0"/>
    <xf numFmtId="0" fontId="6" fillId="3" borderId="0" applyNumberFormat="0" applyBorder="0" applyAlignment="0" applyProtection="0"/>
    <xf numFmtId="0" fontId="7" fillId="4" borderId="16" applyNumberFormat="0" applyAlignment="0" applyProtection="0"/>
    <xf numFmtId="0" fontId="2" fillId="5" borderId="17" applyNumberFormat="0" applyFont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7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</cellStyleXfs>
  <cellXfs count="762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justify" vertical="top" wrapText="1"/>
    </xf>
    <xf numFmtId="0" fontId="3" fillId="2" borderId="3" xfId="0" applyFont="1" applyFill="1" applyBorder="1" applyAlignment="1">
      <alignment horizontal="justify" vertical="top" wrapText="1"/>
    </xf>
    <xf numFmtId="0" fontId="4" fillId="0" borderId="0" xfId="0" applyFont="1" applyAlignment="1">
      <alignment vertical="top"/>
    </xf>
    <xf numFmtId="0" fontId="3" fillId="2" borderId="10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6" borderId="0" xfId="0" applyFill="1" applyBorder="1" applyAlignment="1">
      <alignment horizontal="left" vertical="top" wrapText="1"/>
    </xf>
    <xf numFmtId="0" fontId="4" fillId="6" borderId="14" xfId="0" applyFont="1" applyFill="1" applyBorder="1" applyAlignment="1">
      <alignment horizontal="left" vertical="top" wrapText="1"/>
    </xf>
    <xf numFmtId="0" fontId="4" fillId="6" borderId="24" xfId="0" applyFont="1" applyFill="1" applyBorder="1" applyAlignment="1">
      <alignment horizontal="left" vertical="top" wrapText="1"/>
    </xf>
    <xf numFmtId="0" fontId="9" fillId="6" borderId="15" xfId="0" applyFont="1" applyFill="1" applyBorder="1" applyAlignment="1">
      <alignment horizontal="left" vertical="top" wrapText="1"/>
    </xf>
    <xf numFmtId="0" fontId="10" fillId="6" borderId="31" xfId="0" applyFont="1" applyFill="1" applyBorder="1" applyAlignment="1">
      <alignment horizontal="left" vertical="top" wrapText="1"/>
    </xf>
    <xf numFmtId="0" fontId="0" fillId="6" borderId="32" xfId="0" applyFill="1" applyBorder="1" applyAlignment="1">
      <alignment horizontal="left" vertical="top" wrapText="1"/>
    </xf>
    <xf numFmtId="0" fontId="0" fillId="7" borderId="15" xfId="0" applyFill="1" applyBorder="1" applyAlignment="1">
      <alignment vertical="top" wrapText="1"/>
    </xf>
    <xf numFmtId="0" fontId="0" fillId="7" borderId="26" xfId="0" applyFill="1" applyBorder="1" applyAlignment="1">
      <alignment vertical="top" wrapText="1"/>
    </xf>
    <xf numFmtId="0" fontId="11" fillId="7" borderId="5" xfId="0" applyFont="1" applyFill="1" applyBorder="1" applyAlignment="1">
      <alignment vertical="top" wrapText="1"/>
    </xf>
    <xf numFmtId="0" fontId="9" fillId="7" borderId="0" xfId="0" applyFont="1" applyFill="1" applyBorder="1" applyAlignment="1">
      <alignment horizontal="center" vertical="top" wrapText="1"/>
    </xf>
    <xf numFmtId="0" fontId="0" fillId="6" borderId="18" xfId="0" applyFill="1" applyBorder="1" applyAlignment="1">
      <alignment horizontal="left" vertical="top" wrapText="1"/>
    </xf>
    <xf numFmtId="0" fontId="9" fillId="7" borderId="0" xfId="0" applyFont="1" applyFill="1" applyBorder="1" applyAlignment="1">
      <alignment horizontal="left" vertical="top" wrapText="1"/>
    </xf>
    <xf numFmtId="0" fontId="0" fillId="7" borderId="0" xfId="0" applyFill="1" applyBorder="1" applyAlignment="1">
      <alignment vertical="top" wrapText="1"/>
    </xf>
    <xf numFmtId="0" fontId="0" fillId="7" borderId="25" xfId="0" applyFill="1" applyBorder="1" applyAlignment="1">
      <alignment vertical="top" wrapText="1"/>
    </xf>
    <xf numFmtId="0" fontId="11" fillId="7" borderId="27" xfId="0" applyFont="1" applyFill="1" applyBorder="1" applyAlignment="1">
      <alignment vertical="top" wrapText="1"/>
    </xf>
    <xf numFmtId="0" fontId="0" fillId="7" borderId="24" xfId="0" applyFill="1" applyBorder="1" applyAlignment="1">
      <alignment vertical="top" wrapText="1"/>
    </xf>
    <xf numFmtId="0" fontId="11" fillId="7" borderId="6" xfId="0" applyFont="1" applyFill="1" applyBorder="1" applyAlignment="1">
      <alignment vertical="top" wrapText="1"/>
    </xf>
    <xf numFmtId="0" fontId="0" fillId="0" borderId="6" xfId="0" applyBorder="1" applyAlignment="1">
      <alignment horizontal="left" vertical="top" wrapText="1"/>
    </xf>
    <xf numFmtId="4" fontId="7" fillId="4" borderId="16" xfId="2" applyNumberFormat="1" applyAlignment="1">
      <alignment horizontal="right" vertical="top" wrapText="1"/>
    </xf>
    <xf numFmtId="4" fontId="7" fillId="4" borderId="36" xfId="2" applyNumberFormat="1" applyBorder="1" applyAlignment="1">
      <alignment horizontal="right" vertical="top" wrapText="1"/>
    </xf>
    <xf numFmtId="0" fontId="9" fillId="7" borderId="6" xfId="0" applyFont="1" applyFill="1" applyBorder="1" applyAlignment="1">
      <alignment horizontal="left" vertical="top" wrapText="1"/>
    </xf>
    <xf numFmtId="4" fontId="7" fillId="4" borderId="37" xfId="2" applyNumberFormat="1" applyBorder="1" applyAlignment="1">
      <alignment horizontal="right" vertical="top" wrapText="1"/>
    </xf>
    <xf numFmtId="4" fontId="6" fillId="3" borderId="0" xfId="1" applyNumberFormat="1" applyBorder="1" applyAlignment="1">
      <alignment horizontal="right" vertical="top" wrapText="1"/>
    </xf>
    <xf numFmtId="0" fontId="7" fillId="4" borderId="16" xfId="2" applyAlignment="1">
      <alignment horizontal="left" vertical="top"/>
    </xf>
    <xf numFmtId="0" fontId="0" fillId="0" borderId="39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4" fontId="7" fillId="4" borderId="42" xfId="2" applyNumberFormat="1" applyBorder="1" applyAlignment="1">
      <alignment horizontal="right" vertical="top" wrapText="1"/>
    </xf>
    <xf numFmtId="4" fontId="7" fillId="4" borderId="45" xfId="2" applyNumberFormat="1" applyBorder="1" applyAlignment="1">
      <alignment horizontal="right" vertical="top" wrapText="1"/>
    </xf>
    <xf numFmtId="0" fontId="14" fillId="0" borderId="0" xfId="0" applyFont="1" applyBorder="1"/>
    <xf numFmtId="0" fontId="0" fillId="6" borderId="33" xfId="0" applyFill="1" applyBorder="1" applyAlignment="1">
      <alignment horizontal="left" vertical="top" wrapText="1"/>
    </xf>
    <xf numFmtId="0" fontId="0" fillId="6" borderId="6" xfId="0" applyFill="1" applyBorder="1" applyAlignment="1">
      <alignment horizontal="left" vertical="top" wrapText="1"/>
    </xf>
    <xf numFmtId="0" fontId="0" fillId="0" borderId="68" xfId="0" applyBorder="1" applyAlignment="1">
      <alignment horizontal="left" vertical="top" wrapText="1"/>
    </xf>
    <xf numFmtId="0" fontId="9" fillId="7" borderId="67" xfId="0" applyFont="1" applyFill="1" applyBorder="1" applyAlignment="1">
      <alignment horizontal="left" vertical="top" wrapText="1"/>
    </xf>
    <xf numFmtId="0" fontId="0" fillId="7" borderId="29" xfId="0" applyFill="1" applyBorder="1" applyAlignment="1">
      <alignment vertical="top" wrapText="1"/>
    </xf>
    <xf numFmtId="0" fontId="11" fillId="7" borderId="30" xfId="0" applyFont="1" applyFill="1" applyBorder="1" applyAlignment="1">
      <alignment vertical="top" wrapText="1"/>
    </xf>
    <xf numFmtId="4" fontId="7" fillId="4" borderId="69" xfId="2" applyNumberFormat="1" applyBorder="1" applyAlignment="1">
      <alignment horizontal="right" vertical="top" wrapText="1"/>
    </xf>
    <xf numFmtId="4" fontId="7" fillId="4" borderId="70" xfId="2" applyNumberFormat="1" applyBorder="1" applyAlignment="1">
      <alignment horizontal="right" vertical="top" wrapText="1"/>
    </xf>
    <xf numFmtId="4" fontId="7" fillId="4" borderId="71" xfId="2" applyNumberFormat="1" applyBorder="1" applyAlignment="1">
      <alignment horizontal="right" vertical="top" wrapText="1"/>
    </xf>
    <xf numFmtId="4" fontId="7" fillId="4" borderId="72" xfId="2" applyNumberFormat="1" applyBorder="1" applyAlignment="1">
      <alignment horizontal="right" vertical="top" wrapText="1"/>
    </xf>
    <xf numFmtId="4" fontId="7" fillId="4" borderId="74" xfId="2" applyNumberFormat="1" applyBorder="1" applyAlignment="1">
      <alignment horizontal="right" vertical="top" wrapText="1"/>
    </xf>
    <xf numFmtId="0" fontId="0" fillId="0" borderId="73" xfId="0" applyBorder="1" applyAlignment="1">
      <alignment horizontal="left" vertical="top" wrapText="1"/>
    </xf>
    <xf numFmtId="0" fontId="10" fillId="6" borderId="35" xfId="0" applyFont="1" applyFill="1" applyBorder="1" applyAlignment="1">
      <alignment horizontal="left" vertical="top" wrapText="1"/>
    </xf>
    <xf numFmtId="0" fontId="0" fillId="6" borderId="27" xfId="0" applyFill="1" applyBorder="1" applyAlignment="1">
      <alignment horizontal="left" vertical="top" wrapText="1"/>
    </xf>
    <xf numFmtId="4" fontId="7" fillId="4" borderId="75" xfId="2" applyNumberFormat="1" applyBorder="1" applyAlignment="1">
      <alignment horizontal="right" vertical="top" wrapText="1"/>
    </xf>
    <xf numFmtId="4" fontId="7" fillId="4" borderId="76" xfId="2" applyNumberFormat="1" applyBorder="1" applyAlignment="1">
      <alignment horizontal="right" vertical="top" wrapText="1"/>
    </xf>
    <xf numFmtId="4" fontId="7" fillId="4" borderId="77" xfId="2" applyNumberFormat="1" applyBorder="1" applyAlignment="1">
      <alignment horizontal="right" vertical="top" wrapText="1"/>
    </xf>
    <xf numFmtId="0" fontId="0" fillId="6" borderId="8" xfId="0" applyFill="1" applyBorder="1" applyAlignment="1">
      <alignment horizontal="left" vertical="top" wrapText="1"/>
    </xf>
    <xf numFmtId="0" fontId="0" fillId="6" borderId="9" xfId="0" applyFill="1" applyBorder="1" applyAlignment="1">
      <alignment horizontal="left" vertical="top" wrapText="1"/>
    </xf>
    <xf numFmtId="0" fontId="6" fillId="3" borderId="78" xfId="1" applyBorder="1" applyAlignment="1">
      <alignment horizontal="right" vertical="top" wrapText="1"/>
    </xf>
    <xf numFmtId="4" fontId="7" fillId="4" borderId="36" xfId="2" applyNumberFormat="1" applyBorder="1" applyAlignment="1">
      <alignment horizontal="left" vertical="top" wrapText="1"/>
    </xf>
    <xf numFmtId="4" fontId="7" fillId="4" borderId="79" xfId="2" applyNumberFormat="1" applyBorder="1" applyAlignment="1">
      <alignment horizontal="right" vertical="top" wrapText="1"/>
    </xf>
    <xf numFmtId="4" fontId="7" fillId="4" borderId="80" xfId="2" applyNumberFormat="1" applyBorder="1" applyAlignment="1">
      <alignment horizontal="right" vertical="top" wrapText="1"/>
    </xf>
    <xf numFmtId="4" fontId="7" fillId="4" borderId="81" xfId="2" applyNumberFormat="1" applyBorder="1" applyAlignment="1">
      <alignment horizontal="right" vertical="top" wrapText="1"/>
    </xf>
    <xf numFmtId="0" fontId="0" fillId="0" borderId="0" xfId="0" applyAlignment="1">
      <alignment wrapText="1"/>
    </xf>
    <xf numFmtId="0" fontId="9" fillId="0" borderId="0" xfId="0" applyFont="1" applyBorder="1" applyAlignment="1">
      <alignment horizontal="left" vertical="top" wrapText="1"/>
    </xf>
    <xf numFmtId="0" fontId="9" fillId="0" borderId="28" xfId="0" applyFont="1" applyBorder="1" applyAlignment="1">
      <alignment horizontal="left" vertical="top" wrapText="1"/>
    </xf>
    <xf numFmtId="3" fontId="7" fillId="4" borderId="14" xfId="2" applyNumberFormat="1" applyBorder="1" applyAlignment="1">
      <alignment horizontal="right" vertical="top" wrapText="1"/>
    </xf>
    <xf numFmtId="3" fontId="7" fillId="4" borderId="24" xfId="2" applyNumberFormat="1" applyBorder="1" applyAlignment="1">
      <alignment horizontal="right" vertical="top" wrapText="1"/>
    </xf>
    <xf numFmtId="3" fontId="7" fillId="4" borderId="15" xfId="2" applyNumberFormat="1" applyBorder="1" applyAlignment="1">
      <alignment horizontal="right" vertical="top" wrapText="1"/>
    </xf>
    <xf numFmtId="0" fontId="0" fillId="0" borderId="8" xfId="0" applyBorder="1" applyAlignment="1">
      <alignment horizontal="left" vertical="top" wrapText="1"/>
    </xf>
    <xf numFmtId="0" fontId="0" fillId="0" borderId="7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6" borderId="22" xfId="0" applyFont="1" applyFill="1" applyBorder="1" applyAlignment="1">
      <alignment horizontal="center" vertical="top" wrapText="1"/>
    </xf>
    <xf numFmtId="3" fontId="7" fillId="4" borderId="14" xfId="2" applyNumberFormat="1" applyBorder="1" applyAlignment="1">
      <alignment vertical="top" wrapText="1"/>
    </xf>
    <xf numFmtId="3" fontId="7" fillId="4" borderId="24" xfId="2" applyNumberFormat="1" applyBorder="1" applyAlignment="1">
      <alignment vertical="top" wrapText="1"/>
    </xf>
    <xf numFmtId="3" fontId="7" fillId="4" borderId="15" xfId="2" applyNumberFormat="1" applyBorder="1" applyAlignment="1">
      <alignment vertical="top" wrapText="1"/>
    </xf>
    <xf numFmtId="0" fontId="9" fillId="10" borderId="6" xfId="0" applyFont="1" applyFill="1" applyBorder="1" applyAlignment="1">
      <alignment horizontal="left" vertical="top" wrapText="1"/>
    </xf>
    <xf numFmtId="0" fontId="9" fillId="7" borderId="30" xfId="0" applyFont="1" applyFill="1" applyBorder="1" applyAlignment="1">
      <alignment horizontal="left" vertical="top" wrapText="1"/>
    </xf>
    <xf numFmtId="0" fontId="9" fillId="11" borderId="6" xfId="0" applyFont="1" applyFill="1" applyBorder="1" applyAlignment="1">
      <alignment horizontal="left" vertical="top" wrapText="1"/>
    </xf>
    <xf numFmtId="3" fontId="7" fillId="4" borderId="70" xfId="2" applyNumberFormat="1" applyBorder="1" applyAlignment="1">
      <alignment horizontal="right" vertical="top" wrapText="1"/>
    </xf>
    <xf numFmtId="3" fontId="7" fillId="4" borderId="71" xfId="2" applyNumberFormat="1" applyBorder="1" applyAlignment="1">
      <alignment horizontal="right" vertical="top" wrapText="1"/>
    </xf>
    <xf numFmtId="0" fontId="9" fillId="10" borderId="30" xfId="0" applyFont="1" applyFill="1" applyBorder="1" applyAlignment="1">
      <alignment horizontal="left" vertical="top" wrapText="1"/>
    </xf>
    <xf numFmtId="0" fontId="9" fillId="11" borderId="30" xfId="0" applyFont="1" applyFill="1" applyBorder="1" applyAlignment="1">
      <alignment horizontal="left" vertical="top" wrapText="1"/>
    </xf>
    <xf numFmtId="0" fontId="27" fillId="0" borderId="0" xfId="0" applyFont="1" applyAlignment="1">
      <alignment horizontal="center"/>
    </xf>
    <xf numFmtId="0" fontId="28" fillId="0" borderId="0" xfId="0" applyFont="1"/>
    <xf numFmtId="49" fontId="28" fillId="0" borderId="0" xfId="0" applyNumberFormat="1" applyFont="1"/>
    <xf numFmtId="3" fontId="7" fillId="4" borderId="71" xfId="2" applyNumberFormat="1" applyBorder="1"/>
    <xf numFmtId="0" fontId="26" fillId="0" borderId="0" xfId="0" applyFont="1" applyAlignment="1">
      <alignment horizontal="center"/>
    </xf>
    <xf numFmtId="0" fontId="28" fillId="0" borderId="0" xfId="0" applyFont="1" applyBorder="1" applyAlignment="1">
      <alignment horizontal="center"/>
    </xf>
    <xf numFmtId="0" fontId="27" fillId="0" borderId="0" xfId="0" applyFont="1" applyAlignment="1"/>
    <xf numFmtId="0" fontId="27" fillId="0" borderId="0" xfId="0" applyFont="1" applyAlignment="1">
      <alignment wrapText="1"/>
    </xf>
    <xf numFmtId="0" fontId="26" fillId="0" borderId="0" xfId="0" applyFont="1" applyAlignment="1"/>
    <xf numFmtId="0" fontId="27" fillId="0" borderId="0" xfId="0" applyFont="1" applyBorder="1" applyAlignment="1"/>
    <xf numFmtId="0" fontId="0" fillId="0" borderId="0" xfId="0" applyBorder="1"/>
    <xf numFmtId="0" fontId="28" fillId="0" borderId="0" xfId="0" applyFont="1" applyBorder="1" applyAlignment="1"/>
    <xf numFmtId="0" fontId="9" fillId="7" borderId="67" xfId="0" applyFont="1" applyFill="1" applyBorder="1" applyAlignment="1">
      <alignment horizontal="center" vertical="top" wrapText="1"/>
    </xf>
    <xf numFmtId="3" fontId="7" fillId="4" borderId="36" xfId="2" applyNumberFormat="1" applyBorder="1"/>
    <xf numFmtId="3" fontId="7" fillId="4" borderId="86" xfId="2" applyNumberFormat="1" applyBorder="1"/>
    <xf numFmtId="0" fontId="0" fillId="6" borderId="87" xfId="0" applyFill="1" applyBorder="1" applyAlignment="1">
      <alignment horizontal="center" vertical="top" wrapText="1"/>
    </xf>
    <xf numFmtId="3" fontId="7" fillId="4" borderId="80" xfId="2" applyNumberFormat="1" applyBorder="1" applyAlignment="1">
      <alignment horizontal="right"/>
    </xf>
    <xf numFmtId="3" fontId="7" fillId="4" borderId="81" xfId="2" applyNumberFormat="1" applyBorder="1" applyAlignment="1">
      <alignment horizontal="right"/>
    </xf>
    <xf numFmtId="3" fontId="7" fillId="4" borderId="67" xfId="2" applyNumberFormat="1" applyBorder="1"/>
    <xf numFmtId="3" fontId="7" fillId="4" borderId="30" xfId="2" applyNumberFormat="1" applyBorder="1"/>
    <xf numFmtId="3" fontId="7" fillId="4" borderId="88" xfId="2" applyNumberFormat="1" applyBorder="1"/>
    <xf numFmtId="0" fontId="25" fillId="0" borderId="14" xfId="0" applyFont="1" applyBorder="1" applyAlignment="1"/>
    <xf numFmtId="0" fontId="25" fillId="0" borderId="23" xfId="0" applyFont="1" applyBorder="1" applyAlignment="1"/>
    <xf numFmtId="0" fontId="27" fillId="0" borderId="24" xfId="0" applyFont="1" applyBorder="1" applyAlignment="1"/>
    <xf numFmtId="0" fontId="0" fillId="0" borderId="0" xfId="0" applyFill="1" applyBorder="1" applyAlignment="1">
      <alignment horizontal="left" vertical="top" wrapText="1"/>
    </xf>
    <xf numFmtId="0" fontId="8" fillId="0" borderId="0" xfId="0" applyFont="1"/>
    <xf numFmtId="0" fontId="3" fillId="5" borderId="30" xfId="3" applyFont="1" applyBorder="1" applyAlignment="1">
      <alignment vertical="top"/>
    </xf>
    <xf numFmtId="0" fontId="0" fillId="0" borderId="38" xfId="0" applyFont="1" applyBorder="1" applyAlignment="1">
      <alignment horizontal="left"/>
    </xf>
    <xf numFmtId="0" fontId="0" fillId="0" borderId="39" xfId="0" applyFont="1" applyBorder="1" applyAlignment="1">
      <alignment horizontal="left"/>
    </xf>
    <xf numFmtId="0" fontId="0" fillId="6" borderId="85" xfId="0" applyFill="1" applyBorder="1" applyAlignment="1">
      <alignment horizontal="center" vertical="top" wrapText="1"/>
    </xf>
    <xf numFmtId="0" fontId="0" fillId="6" borderId="58" xfId="0" applyFill="1" applyBorder="1" applyAlignment="1">
      <alignment horizontal="center" vertical="top" wrapText="1"/>
    </xf>
    <xf numFmtId="0" fontId="0" fillId="6" borderId="59" xfId="0" applyFill="1" applyBorder="1" applyAlignment="1">
      <alignment horizontal="center" vertical="top" wrapText="1"/>
    </xf>
    <xf numFmtId="3" fontId="7" fillId="4" borderId="91" xfId="2" applyNumberFormat="1" applyBorder="1"/>
    <xf numFmtId="3" fontId="7" fillId="4" borderId="76" xfId="2" applyNumberFormat="1" applyBorder="1"/>
    <xf numFmtId="3" fontId="7" fillId="4" borderId="43" xfId="2" applyNumberFormat="1" applyBorder="1"/>
    <xf numFmtId="3" fontId="7" fillId="4" borderId="46" xfId="2" applyNumberFormat="1" applyBorder="1"/>
    <xf numFmtId="3" fontId="7" fillId="4" borderId="92" xfId="2" applyNumberFormat="1" applyBorder="1"/>
    <xf numFmtId="3" fontId="13" fillId="5" borderId="82" xfId="3" applyNumberFormat="1" applyFont="1" applyBorder="1" applyAlignment="1">
      <alignment vertical="top" wrapText="1"/>
    </xf>
    <xf numFmtId="3" fontId="13" fillId="5" borderId="41" xfId="3" applyNumberFormat="1" applyFont="1" applyBorder="1" applyAlignment="1">
      <alignment vertical="top" wrapText="1"/>
    </xf>
    <xf numFmtId="3" fontId="13" fillId="5" borderId="83" xfId="3" applyNumberFormat="1" applyFont="1" applyBorder="1" applyAlignment="1">
      <alignment vertical="top" wrapText="1"/>
    </xf>
    <xf numFmtId="3" fontId="13" fillId="5" borderId="82" xfId="3" applyNumberFormat="1" applyFont="1" applyBorder="1" applyAlignment="1">
      <alignment horizontal="right" vertical="top" wrapText="1"/>
    </xf>
    <xf numFmtId="3" fontId="13" fillId="5" borderId="41" xfId="3" applyNumberFormat="1" applyFont="1" applyBorder="1" applyAlignment="1">
      <alignment horizontal="right" vertical="top" wrapText="1"/>
    </xf>
    <xf numFmtId="3" fontId="13" fillId="5" borderId="83" xfId="3" applyNumberFormat="1" applyFont="1" applyBorder="1" applyAlignment="1">
      <alignment horizontal="right" vertical="top" wrapText="1"/>
    </xf>
    <xf numFmtId="3" fontId="7" fillId="4" borderId="93" xfId="2" applyNumberFormat="1" applyBorder="1" applyAlignment="1">
      <alignment horizontal="right" vertical="top" wrapText="1"/>
    </xf>
    <xf numFmtId="3" fontId="7" fillId="4" borderId="52" xfId="2" applyNumberFormat="1" applyBorder="1" applyAlignment="1">
      <alignment horizontal="right" vertical="top" wrapText="1"/>
    </xf>
    <xf numFmtId="3" fontId="7" fillId="4" borderId="47" xfId="2" applyNumberFormat="1" applyBorder="1" applyAlignment="1">
      <alignment vertical="top" wrapText="1"/>
    </xf>
    <xf numFmtId="3" fontId="7" fillId="4" borderId="44" xfId="2" applyNumberFormat="1" applyBorder="1" applyAlignment="1">
      <alignment vertical="top" wrapText="1"/>
    </xf>
    <xf numFmtId="3" fontId="7" fillId="4" borderId="94" xfId="2" applyNumberFormat="1" applyBorder="1" applyAlignment="1">
      <alignment vertical="top" wrapText="1"/>
    </xf>
    <xf numFmtId="3" fontId="7" fillId="4" borderId="16" xfId="2" applyNumberFormat="1" applyBorder="1" applyAlignment="1">
      <alignment vertical="top" wrapText="1"/>
    </xf>
    <xf numFmtId="0" fontId="0" fillId="0" borderId="0" xfId="0" applyBorder="1" applyAlignment="1">
      <alignment horizontal="left" vertical="top" wrapText="1"/>
    </xf>
    <xf numFmtId="0" fontId="32" fillId="0" borderId="0" xfId="0" applyFont="1"/>
    <xf numFmtId="0" fontId="32" fillId="0" borderId="0" xfId="0" applyFont="1" applyAlignment="1">
      <alignment horizontal="right"/>
    </xf>
    <xf numFmtId="0" fontId="34" fillId="0" borderId="0" xfId="0" applyFont="1" applyFill="1" applyBorder="1" applyAlignment="1">
      <alignment horizontal="center" vertical="center" wrapText="1"/>
    </xf>
    <xf numFmtId="0" fontId="33" fillId="12" borderId="78" xfId="0" applyFont="1" applyFill="1" applyBorder="1" applyAlignment="1">
      <alignment vertical="top"/>
    </xf>
    <xf numFmtId="0" fontId="33" fillId="12" borderId="0" xfId="0" applyFont="1" applyFill="1" applyBorder="1" applyAlignment="1">
      <alignment vertical="top"/>
    </xf>
    <xf numFmtId="0" fontId="33" fillId="12" borderId="24" xfId="0" applyFont="1" applyFill="1" applyBorder="1" applyAlignment="1">
      <alignment vertical="top"/>
    </xf>
    <xf numFmtId="0" fontId="33" fillId="12" borderId="6" xfId="0" applyFont="1" applyFill="1" applyBorder="1" applyAlignment="1">
      <alignment vertical="top"/>
    </xf>
    <xf numFmtId="0" fontId="33" fillId="0" borderId="0" xfId="0" applyFont="1" applyFill="1" applyBorder="1" applyAlignment="1">
      <alignment vertical="top" wrapText="1"/>
    </xf>
    <xf numFmtId="0" fontId="32" fillId="0" borderId="0" xfId="0" applyFont="1" applyBorder="1"/>
    <xf numFmtId="0" fontId="32" fillId="0" borderId="0" xfId="0" applyFont="1" applyFill="1" applyBorder="1" applyAlignment="1">
      <alignment horizontal="left"/>
    </xf>
    <xf numFmtId="0" fontId="37" fillId="14" borderId="29" xfId="0" applyFont="1" applyFill="1" applyBorder="1"/>
    <xf numFmtId="1" fontId="37" fillId="0" borderId="0" xfId="0" applyNumberFormat="1" applyFont="1" applyFill="1" applyBorder="1"/>
    <xf numFmtId="0" fontId="32" fillId="0" borderId="0" xfId="0" applyFont="1" applyFill="1"/>
    <xf numFmtId="0" fontId="38" fillId="0" borderId="0" xfId="0" applyFont="1"/>
    <xf numFmtId="4" fontId="7" fillId="4" borderId="50" xfId="2" applyNumberFormat="1" applyBorder="1" applyAlignment="1">
      <alignment horizontal="right" vertical="top" wrapText="1"/>
    </xf>
    <xf numFmtId="4" fontId="0" fillId="0" borderId="0" xfId="0" applyNumberFormat="1" applyBorder="1" applyAlignment="1">
      <alignment horizontal="left" vertical="top" wrapText="1"/>
    </xf>
    <xf numFmtId="0" fontId="2" fillId="6" borderId="56" xfId="0" applyFont="1" applyFill="1" applyBorder="1" applyAlignment="1">
      <alignment horizontal="center" vertical="top" wrapText="1"/>
    </xf>
    <xf numFmtId="0" fontId="2" fillId="6" borderId="85" xfId="0" applyFont="1" applyFill="1" applyBorder="1" applyAlignment="1">
      <alignment horizontal="center" vertical="top" wrapText="1"/>
    </xf>
    <xf numFmtId="0" fontId="2" fillId="6" borderId="58" xfId="0" applyFont="1" applyFill="1" applyBorder="1" applyAlignment="1">
      <alignment horizontal="center" vertical="top" wrapText="1"/>
    </xf>
    <xf numFmtId="0" fontId="2" fillId="6" borderId="59" xfId="0" applyFont="1" applyFill="1" applyBorder="1" applyAlignment="1">
      <alignment horizontal="center" vertical="top" wrapText="1"/>
    </xf>
    <xf numFmtId="0" fontId="2" fillId="0" borderId="38" xfId="0" applyFont="1" applyBorder="1" applyAlignment="1">
      <alignment horizontal="left"/>
    </xf>
    <xf numFmtId="3" fontId="7" fillId="4" borderId="80" xfId="2" applyNumberFormat="1" applyFont="1" applyBorder="1" applyAlignment="1">
      <alignment horizontal="right"/>
    </xf>
    <xf numFmtId="3" fontId="7" fillId="4" borderId="91" xfId="2" applyNumberFormat="1" applyFont="1" applyBorder="1"/>
    <xf numFmtId="3" fontId="7" fillId="4" borderId="36" xfId="2" applyNumberFormat="1" applyFont="1" applyBorder="1"/>
    <xf numFmtId="3" fontId="7" fillId="4" borderId="76" xfId="2" applyNumberFormat="1" applyFont="1" applyBorder="1"/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/>
    </xf>
    <xf numFmtId="3" fontId="7" fillId="4" borderId="81" xfId="2" applyNumberFormat="1" applyFont="1" applyBorder="1" applyAlignment="1">
      <alignment horizontal="right"/>
    </xf>
    <xf numFmtId="3" fontId="7" fillId="4" borderId="67" xfId="2" applyNumberFormat="1" applyFont="1" applyBorder="1"/>
    <xf numFmtId="3" fontId="7" fillId="4" borderId="86" xfId="2" applyNumberFormat="1" applyFont="1" applyBorder="1"/>
    <xf numFmtId="3" fontId="7" fillId="4" borderId="71" xfId="2" applyNumberFormat="1" applyFont="1" applyBorder="1"/>
    <xf numFmtId="3" fontId="7" fillId="4" borderId="88" xfId="2" applyNumberFormat="1" applyFont="1" applyBorder="1"/>
    <xf numFmtId="3" fontId="7" fillId="4" borderId="30" xfId="2" applyNumberFormat="1" applyFont="1" applyBorder="1"/>
    <xf numFmtId="3" fontId="7" fillId="4" borderId="97" xfId="2" applyNumberFormat="1" applyFont="1" applyBorder="1"/>
    <xf numFmtId="3" fontId="7" fillId="4" borderId="16" xfId="2" applyNumberFormat="1" applyFont="1" applyBorder="1"/>
    <xf numFmtId="4" fontId="7" fillId="4" borderId="98" xfId="2" applyNumberFormat="1" applyBorder="1" applyAlignment="1">
      <alignment horizontal="right" vertical="top" wrapText="1"/>
    </xf>
    <xf numFmtId="4" fontId="7" fillId="0" borderId="0" xfId="2" applyNumberFormat="1" applyFill="1" applyBorder="1" applyAlignment="1">
      <alignment horizontal="right" vertical="top" wrapText="1"/>
    </xf>
    <xf numFmtId="4" fontId="0" fillId="0" borderId="0" xfId="0" applyNumberFormat="1"/>
    <xf numFmtId="4" fontId="7" fillId="4" borderId="100" xfId="2" applyNumberFormat="1" applyBorder="1" applyAlignment="1">
      <alignment horizontal="right" vertical="top" wrapText="1"/>
    </xf>
    <xf numFmtId="0" fontId="8" fillId="0" borderId="87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Fill="1"/>
    <xf numFmtId="0" fontId="0" fillId="0" borderId="6" xfId="0" applyBorder="1"/>
    <xf numFmtId="0" fontId="0" fillId="0" borderId="5" xfId="0" applyBorder="1"/>
    <xf numFmtId="0" fontId="0" fillId="0" borderId="63" xfId="0" applyBorder="1" applyAlignment="1">
      <alignment horizontal="center" vertical="center"/>
    </xf>
    <xf numFmtId="0" fontId="0" fillId="0" borderId="13" xfId="0" applyBorder="1"/>
    <xf numFmtId="4" fontId="7" fillId="4" borderId="113" xfId="2" applyNumberFormat="1" applyBorder="1" applyAlignment="1">
      <alignment horizontal="right" vertical="top" wrapText="1"/>
    </xf>
    <xf numFmtId="4" fontId="7" fillId="4" borderId="112" xfId="2" applyNumberFormat="1" applyBorder="1" applyAlignment="1">
      <alignment horizontal="right" vertical="top" wrapText="1"/>
    </xf>
    <xf numFmtId="2" fontId="32" fillId="0" borderId="0" xfId="0" applyNumberFormat="1" applyFont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9" fillId="0" borderId="28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4" fontId="42" fillId="4" borderId="113" xfId="2" applyNumberFormat="1" applyFont="1" applyBorder="1" applyAlignment="1">
      <alignment horizontal="left" vertical="center" wrapText="1"/>
    </xf>
    <xf numFmtId="4" fontId="7" fillId="15" borderId="112" xfId="2" applyNumberFormat="1" applyFill="1" applyBorder="1" applyAlignment="1">
      <alignment horizontal="right" vertical="center" wrapText="1"/>
    </xf>
    <xf numFmtId="166" fontId="41" fillId="15" borderId="112" xfId="4" applyNumberFormat="1" applyFont="1" applyFill="1" applyBorder="1" applyAlignment="1">
      <alignment horizontal="right" vertical="center" wrapText="1"/>
    </xf>
    <xf numFmtId="3" fontId="41" fillId="15" borderId="112" xfId="4" applyNumberFormat="1" applyFont="1" applyFill="1" applyBorder="1" applyAlignment="1">
      <alignment horizontal="right" vertical="center" wrapText="1"/>
    </xf>
    <xf numFmtId="0" fontId="43" fillId="0" borderId="0" xfId="0" applyFont="1" applyAlignment="1">
      <alignment horizontal="right" vertical="center"/>
    </xf>
    <xf numFmtId="4" fontId="44" fillId="9" borderId="112" xfId="2" applyNumberFormat="1" applyFont="1" applyFill="1" applyBorder="1" applyAlignment="1">
      <alignment horizontal="right" vertical="center" wrapText="1"/>
    </xf>
    <xf numFmtId="166" fontId="45" fillId="9" borderId="112" xfId="4" applyNumberFormat="1" applyFont="1" applyFill="1" applyBorder="1" applyAlignment="1">
      <alignment horizontal="right" vertical="center" wrapText="1"/>
    </xf>
    <xf numFmtId="0" fontId="46" fillId="0" borderId="0" xfId="0" applyFont="1" applyAlignment="1">
      <alignment vertical="center"/>
    </xf>
    <xf numFmtId="3" fontId="45" fillId="9" borderId="112" xfId="4" applyNumberFormat="1" applyFont="1" applyFill="1" applyBorder="1" applyAlignment="1">
      <alignment horizontal="right" vertical="center" wrapText="1"/>
    </xf>
    <xf numFmtId="2" fontId="3" fillId="17" borderId="78" xfId="1" applyNumberFormat="1" applyFont="1" applyFill="1" applyBorder="1" applyAlignment="1">
      <alignment vertical="top" wrapText="1"/>
    </xf>
    <xf numFmtId="1" fontId="47" fillId="3" borderId="5" xfId="1" applyNumberFormat="1" applyFont="1" applyBorder="1" applyAlignment="1">
      <alignment horizontal="right" vertical="top" wrapText="1"/>
    </xf>
    <xf numFmtId="0" fontId="29" fillId="0" borderId="0" xfId="0" applyFont="1" applyBorder="1"/>
    <xf numFmtId="0" fontId="9" fillId="0" borderId="0" xfId="0" applyFont="1" applyFill="1" applyBorder="1" applyAlignment="1">
      <alignment horizontal="center" vertical="top" wrapText="1"/>
    </xf>
    <xf numFmtId="3" fontId="7" fillId="0" borderId="0" xfId="2" applyNumberFormat="1" applyFill="1" applyBorder="1"/>
    <xf numFmtId="0" fontId="8" fillId="0" borderId="59" xfId="0" applyFont="1" applyBorder="1" applyAlignment="1"/>
    <xf numFmtId="0" fontId="8" fillId="0" borderId="115" xfId="0" applyFont="1" applyBorder="1" applyAlignment="1"/>
    <xf numFmtId="0" fontId="0" fillId="0" borderId="116" xfId="0" applyFont="1" applyBorder="1" applyAlignment="1">
      <alignment horizontal="left"/>
    </xf>
    <xf numFmtId="0" fontId="9" fillId="7" borderId="30" xfId="0" applyFont="1" applyFill="1" applyBorder="1" applyAlignment="1">
      <alignment horizontal="center" vertical="top" wrapText="1"/>
    </xf>
    <xf numFmtId="0" fontId="0" fillId="0" borderId="6" xfId="0" applyFont="1" applyBorder="1" applyAlignment="1"/>
    <xf numFmtId="0" fontId="0" fillId="0" borderId="6" xfId="0" applyFont="1" applyBorder="1" applyAlignment="1">
      <alignment horizontal="right"/>
    </xf>
    <xf numFmtId="0" fontId="29" fillId="0" borderId="6" xfId="0" applyFont="1" applyBorder="1"/>
    <xf numFmtId="0" fontId="31" fillId="0" borderId="24" xfId="0" applyFont="1" applyBorder="1" applyAlignment="1"/>
    <xf numFmtId="9" fontId="0" fillId="0" borderId="19" xfId="4" applyFont="1" applyBorder="1" applyAlignment="1">
      <alignment wrapText="1"/>
    </xf>
    <xf numFmtId="4" fontId="0" fillId="0" borderId="20" xfId="0" applyNumberFormat="1" applyBorder="1" applyAlignment="1">
      <alignment wrapText="1"/>
    </xf>
    <xf numFmtId="9" fontId="0" fillId="0" borderId="0" xfId="4" applyFont="1"/>
    <xf numFmtId="4" fontId="0" fillId="0" borderId="20" xfId="0" applyNumberFormat="1" applyBorder="1"/>
    <xf numFmtId="9" fontId="0" fillId="0" borderId="0" xfId="4" applyFont="1" applyBorder="1" applyAlignment="1">
      <alignment wrapText="1"/>
    </xf>
    <xf numFmtId="0" fontId="0" fillId="0" borderId="0" xfId="0" applyBorder="1" applyAlignment="1">
      <alignment wrapText="1"/>
    </xf>
    <xf numFmtId="2" fontId="0" fillId="0" borderId="20" xfId="0" applyNumberFormat="1" applyBorder="1" applyAlignment="1">
      <alignment wrapText="1"/>
    </xf>
    <xf numFmtId="2" fontId="0" fillId="0" borderId="119" xfId="0" applyNumberFormat="1" applyBorder="1" applyAlignment="1">
      <alignment wrapText="1"/>
    </xf>
    <xf numFmtId="2" fontId="0" fillId="0" borderId="20" xfId="0" applyNumberFormat="1" applyBorder="1"/>
    <xf numFmtId="2" fontId="0" fillId="0" borderId="119" xfId="0" applyNumberFormat="1" applyBorder="1"/>
    <xf numFmtId="9" fontId="8" fillId="10" borderId="19" xfId="4" applyFont="1" applyFill="1" applyBorder="1" applyAlignment="1">
      <alignment wrapText="1"/>
    </xf>
    <xf numFmtId="9" fontId="8" fillId="10" borderId="118" xfId="4" applyFont="1" applyFill="1" applyBorder="1" applyAlignment="1">
      <alignment wrapText="1"/>
    </xf>
    <xf numFmtId="9" fontId="8" fillId="10" borderId="19" xfId="4" applyFont="1" applyFill="1" applyBorder="1"/>
    <xf numFmtId="9" fontId="8" fillId="10" borderId="118" xfId="4" applyFont="1" applyFill="1" applyBorder="1"/>
    <xf numFmtId="0" fontId="8" fillId="10" borderId="0" xfId="0" applyFont="1" applyFill="1" applyAlignment="1">
      <alignment wrapText="1"/>
    </xf>
    <xf numFmtId="4" fontId="8" fillId="10" borderId="0" xfId="0" applyNumberFormat="1" applyFont="1" applyFill="1" applyAlignment="1">
      <alignment wrapText="1"/>
    </xf>
    <xf numFmtId="0" fontId="8" fillId="0" borderId="0" xfId="0" applyFont="1" applyFill="1"/>
    <xf numFmtId="0" fontId="8" fillId="10" borderId="20" xfId="0" applyFont="1" applyFill="1" applyBorder="1" applyAlignment="1">
      <alignment horizontal="right" wrapText="1"/>
    </xf>
    <xf numFmtId="0" fontId="8" fillId="10" borderId="19" xfId="0" applyFont="1" applyFill="1" applyBorder="1" applyAlignment="1">
      <alignment horizontal="right" wrapText="1"/>
    </xf>
    <xf numFmtId="0" fontId="8" fillId="10" borderId="117" xfId="0" applyFont="1" applyFill="1" applyBorder="1" applyAlignment="1">
      <alignment horizontal="right"/>
    </xf>
    <xf numFmtId="0" fontId="8" fillId="10" borderId="111" xfId="0" applyFont="1" applyFill="1" applyBorder="1" applyAlignment="1">
      <alignment horizontal="right"/>
    </xf>
    <xf numFmtId="4" fontId="0" fillId="0" borderId="0" xfId="0" applyNumberFormat="1" applyBorder="1" applyAlignment="1">
      <alignment wrapText="1"/>
    </xf>
    <xf numFmtId="2" fontId="0" fillId="0" borderId="0" xfId="0" applyNumberFormat="1" applyBorder="1" applyAlignment="1">
      <alignment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wrapText="1"/>
    </xf>
    <xf numFmtId="4" fontId="8" fillId="0" borderId="0" xfId="0" applyNumberFormat="1" applyFont="1" applyBorder="1" applyAlignment="1">
      <alignment wrapText="1"/>
    </xf>
    <xf numFmtId="9" fontId="8" fillId="19" borderId="20" xfId="4" applyFont="1" applyFill="1" applyBorder="1" applyAlignment="1">
      <alignment wrapText="1"/>
    </xf>
    <xf numFmtId="2" fontId="0" fillId="0" borderId="0" xfId="0" applyNumberFormat="1" applyBorder="1"/>
    <xf numFmtId="9" fontId="8" fillId="19" borderId="21" xfId="4" applyFont="1" applyFill="1" applyBorder="1" applyAlignment="1">
      <alignment wrapText="1"/>
    </xf>
    <xf numFmtId="2" fontId="0" fillId="0" borderId="21" xfId="0" applyNumberFormat="1" applyBorder="1" applyAlignment="1">
      <alignment wrapText="1"/>
    </xf>
    <xf numFmtId="2" fontId="0" fillId="0" borderId="21" xfId="0" applyNumberFormat="1" applyBorder="1"/>
    <xf numFmtId="9" fontId="8" fillId="19" borderId="118" xfId="4" applyFont="1" applyFill="1" applyBorder="1" applyAlignment="1">
      <alignment wrapText="1"/>
    </xf>
    <xf numFmtId="9" fontId="8" fillId="19" borderId="119" xfId="4" applyFont="1" applyFill="1" applyBorder="1" applyAlignment="1">
      <alignment wrapText="1"/>
    </xf>
    <xf numFmtId="9" fontId="8" fillId="19" borderId="111" xfId="4" applyFont="1" applyFill="1" applyBorder="1" applyAlignment="1">
      <alignment wrapText="1"/>
    </xf>
    <xf numFmtId="0" fontId="37" fillId="14" borderId="15" xfId="0" applyFont="1" applyFill="1" applyBorder="1"/>
    <xf numFmtId="0" fontId="0" fillId="17" borderId="58" xfId="0" applyFill="1" applyBorder="1"/>
    <xf numFmtId="0" fontId="0" fillId="17" borderId="22" xfId="0" applyFill="1" applyBorder="1"/>
    <xf numFmtId="0" fontId="0" fillId="17" borderId="84" xfId="0" applyFill="1" applyBorder="1"/>
    <xf numFmtId="0" fontId="0" fillId="17" borderId="109" xfId="0" applyFill="1" applyBorder="1"/>
    <xf numFmtId="0" fontId="33" fillId="12" borderId="13" xfId="0" applyFont="1" applyFill="1" applyBorder="1" applyAlignment="1">
      <alignment horizontal="center" vertical="center" wrapText="1"/>
    </xf>
    <xf numFmtId="0" fontId="35" fillId="17" borderId="127" xfId="0" applyFont="1" applyFill="1" applyBorder="1" applyAlignment="1">
      <alignment vertical="center"/>
    </xf>
    <xf numFmtId="0" fontId="35" fillId="17" borderId="126" xfId="0" applyFont="1" applyFill="1" applyBorder="1" applyAlignment="1">
      <alignment vertical="center"/>
    </xf>
    <xf numFmtId="0" fontId="33" fillId="12" borderId="23" xfId="0" applyFont="1" applyFill="1" applyBorder="1" applyAlignment="1">
      <alignment vertical="center"/>
    </xf>
    <xf numFmtId="0" fontId="33" fillId="12" borderId="8" xfId="0" applyFont="1" applyFill="1" applyBorder="1" applyAlignment="1">
      <alignment vertical="center" wrapText="1"/>
    </xf>
    <xf numFmtId="0" fontId="33" fillId="12" borderId="14" xfId="0" applyFont="1" applyFill="1" applyBorder="1" applyAlignment="1">
      <alignment vertical="center"/>
    </xf>
    <xf numFmtId="0" fontId="33" fillId="12" borderId="13" xfId="0" applyFont="1" applyFill="1" applyBorder="1" applyAlignment="1">
      <alignment vertical="center"/>
    </xf>
    <xf numFmtId="0" fontId="33" fillId="12" borderId="14" xfId="0" applyFont="1" applyFill="1" applyBorder="1" applyAlignment="1">
      <alignment horizontal="center" vertical="center" wrapText="1"/>
    </xf>
    <xf numFmtId="0" fontId="33" fillId="12" borderId="23" xfId="0" applyFont="1" applyFill="1" applyBorder="1" applyAlignment="1">
      <alignment horizontal="center" vertical="center" wrapText="1"/>
    </xf>
    <xf numFmtId="0" fontId="33" fillId="12" borderId="24" xfId="0" applyFont="1" applyFill="1" applyBorder="1" applyAlignment="1">
      <alignment horizontal="center" vertical="center" wrapText="1"/>
    </xf>
    <xf numFmtId="0" fontId="33" fillId="12" borderId="0" xfId="0" applyFont="1" applyFill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2" fillId="0" borderId="122" xfId="0" applyFont="1" applyBorder="1" applyAlignment="1">
      <alignment horizontal="center" vertical="center"/>
    </xf>
    <xf numFmtId="0" fontId="37" fillId="14" borderId="26" xfId="0" applyFont="1" applyFill="1" applyBorder="1" applyAlignment="1">
      <alignment horizontal="center" vertical="center"/>
    </xf>
    <xf numFmtId="0" fontId="39" fillId="0" borderId="24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39" fillId="0" borderId="6" xfId="0" applyFont="1" applyFill="1" applyBorder="1" applyAlignment="1">
      <alignment horizontal="center" vertical="center"/>
    </xf>
    <xf numFmtId="0" fontId="33" fillId="12" borderId="6" xfId="0" applyFont="1" applyFill="1" applyBorder="1" applyAlignment="1">
      <alignment horizontal="center" vertical="center" wrapText="1"/>
    </xf>
    <xf numFmtId="2" fontId="37" fillId="14" borderId="30" xfId="0" applyNumberFormat="1" applyFont="1" applyFill="1" applyBorder="1" applyAlignment="1">
      <alignment horizontal="center" vertical="center"/>
    </xf>
    <xf numFmtId="0" fontId="33" fillId="12" borderId="6" xfId="0" applyFont="1" applyFill="1" applyBorder="1" applyAlignment="1">
      <alignment horizontal="center" vertical="top" wrapText="1"/>
    </xf>
    <xf numFmtId="0" fontId="33" fillId="12" borderId="14" xfId="0" applyFont="1" applyFill="1" applyBorder="1" applyAlignment="1">
      <alignment horizontal="center" vertical="center"/>
    </xf>
    <xf numFmtId="0" fontId="33" fillId="12" borderId="23" xfId="0" applyFont="1" applyFill="1" applyBorder="1" applyAlignment="1">
      <alignment horizontal="center" vertical="center"/>
    </xf>
    <xf numFmtId="0" fontId="33" fillId="12" borderId="13" xfId="0" applyFont="1" applyFill="1" applyBorder="1" applyAlignment="1">
      <alignment horizontal="center" vertical="center"/>
    </xf>
    <xf numFmtId="0" fontId="33" fillId="12" borderId="24" xfId="0" applyFont="1" applyFill="1" applyBorder="1" applyAlignment="1">
      <alignment horizontal="center" vertical="center"/>
    </xf>
    <xf numFmtId="0" fontId="33" fillId="12" borderId="0" xfId="0" applyFont="1" applyFill="1" applyBorder="1" applyAlignment="1">
      <alignment horizontal="center" vertical="center"/>
    </xf>
    <xf numFmtId="0" fontId="33" fillId="12" borderId="6" xfId="0" applyFont="1" applyFill="1" applyBorder="1" applyAlignment="1">
      <alignment horizontal="center" vertical="center"/>
    </xf>
    <xf numFmtId="0" fontId="37" fillId="14" borderId="29" xfId="0" applyFont="1" applyFill="1" applyBorder="1" applyAlignment="1">
      <alignment horizontal="center" vertical="center"/>
    </xf>
    <xf numFmtId="0" fontId="32" fillId="17" borderId="122" xfId="0" applyFont="1" applyFill="1" applyBorder="1" applyAlignment="1">
      <alignment horizontal="center" vertical="center"/>
    </xf>
    <xf numFmtId="0" fontId="32" fillId="17" borderId="125" xfId="0" applyFont="1" applyFill="1" applyBorder="1" applyAlignment="1">
      <alignment horizontal="center" vertical="center"/>
    </xf>
    <xf numFmtId="0" fontId="33" fillId="12" borderId="8" xfId="0" applyFont="1" applyFill="1" applyBorder="1" applyAlignment="1">
      <alignment horizontal="left" vertical="center"/>
    </xf>
    <xf numFmtId="0" fontId="33" fillId="12" borderId="23" xfId="0" applyFont="1" applyFill="1" applyBorder="1" applyAlignment="1">
      <alignment horizontal="left" vertical="center"/>
    </xf>
    <xf numFmtId="0" fontId="35" fillId="17" borderId="127" xfId="0" applyFont="1" applyFill="1" applyBorder="1" applyAlignment="1">
      <alignment horizontal="left" vertical="center"/>
    </xf>
    <xf numFmtId="0" fontId="36" fillId="17" borderId="127" xfId="0" applyFont="1" applyFill="1" applyBorder="1" applyAlignment="1">
      <alignment horizontal="left" vertical="center"/>
    </xf>
    <xf numFmtId="0" fontId="37" fillId="14" borderId="15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8" fillId="19" borderId="0" xfId="0" applyFont="1" applyFill="1"/>
    <xf numFmtId="0" fontId="8" fillId="19" borderId="0" xfId="0" applyFont="1" applyFill="1" applyAlignment="1">
      <alignment horizontal="left"/>
    </xf>
    <xf numFmtId="0" fontId="8" fillId="0" borderId="67" xfId="0" applyFont="1" applyBorder="1" applyAlignment="1">
      <alignment horizontal="center" vertical="center" wrapText="1"/>
    </xf>
    <xf numFmtId="0" fontId="30" fillId="0" borderId="134" xfId="0" applyFont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/>
    <xf numFmtId="0" fontId="8" fillId="0" borderId="137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8" fillId="0" borderId="131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left"/>
    </xf>
    <xf numFmtId="0" fontId="0" fillId="0" borderId="131" xfId="0" applyFont="1" applyBorder="1" applyAlignment="1">
      <alignment horizontal="center" vertical="center" wrapText="1"/>
    </xf>
    <xf numFmtId="0" fontId="0" fillId="0" borderId="132" xfId="0" applyFont="1" applyBorder="1" applyAlignment="1">
      <alignment horizontal="center" vertical="center" wrapText="1"/>
    </xf>
    <xf numFmtId="0" fontId="0" fillId="17" borderId="108" xfId="0" applyFill="1" applyBorder="1"/>
    <xf numFmtId="0" fontId="34" fillId="0" borderId="24" xfId="0" applyFont="1" applyFill="1" applyBorder="1" applyAlignment="1">
      <alignment horizontal="left" vertical="center"/>
    </xf>
    <xf numFmtId="0" fontId="0" fillId="17" borderId="109" xfId="0" applyFill="1" applyBorder="1" applyAlignment="1">
      <alignment horizontal="center"/>
    </xf>
    <xf numFmtId="0" fontId="0" fillId="17" borderId="22" xfId="0" applyFill="1" applyBorder="1" applyAlignment="1">
      <alignment horizontal="center"/>
    </xf>
    <xf numFmtId="0" fontId="0" fillId="17" borderId="108" xfId="0" applyFill="1" applyBorder="1" applyAlignment="1">
      <alignment horizontal="center"/>
    </xf>
    <xf numFmtId="0" fontId="30" fillId="0" borderId="133" xfId="0" applyFont="1" applyBorder="1" applyAlignment="1">
      <alignment horizontal="center" wrapText="1"/>
    </xf>
    <xf numFmtId="0" fontId="0" fillId="17" borderId="119" xfId="0" applyFill="1" applyBorder="1" applyAlignment="1">
      <alignment horizontal="center"/>
    </xf>
    <xf numFmtId="0" fontId="31" fillId="9" borderId="67" xfId="0" applyFont="1" applyFill="1" applyBorder="1" applyAlignment="1">
      <alignment horizontal="left" vertical="top"/>
    </xf>
    <xf numFmtId="0" fontId="0" fillId="17" borderId="137" xfId="0" applyFill="1" applyBorder="1" applyAlignment="1"/>
    <xf numFmtId="0" fontId="0" fillId="17" borderId="131" xfId="0" applyFill="1" applyBorder="1" applyAlignment="1">
      <alignment horizontal="left"/>
    </xf>
    <xf numFmtId="0" fontId="0" fillId="17" borderId="131" xfId="0" applyFill="1" applyBorder="1" applyAlignment="1">
      <alignment horizontal="center"/>
    </xf>
    <xf numFmtId="0" fontId="0" fillId="17" borderId="132" xfId="0" applyFill="1" applyBorder="1"/>
    <xf numFmtId="0" fontId="30" fillId="0" borderId="135" xfId="0" applyFont="1" applyBorder="1" applyAlignment="1">
      <alignment wrapText="1"/>
    </xf>
    <xf numFmtId="0" fontId="0" fillId="17" borderId="118" xfId="0" applyFill="1" applyBorder="1" applyAlignment="1">
      <alignment horizontal="center"/>
    </xf>
    <xf numFmtId="0" fontId="0" fillId="17" borderId="120" xfId="0" applyFill="1" applyBorder="1" applyAlignment="1">
      <alignment horizontal="center"/>
    </xf>
    <xf numFmtId="0" fontId="0" fillId="17" borderId="120" xfId="0" applyFill="1" applyBorder="1"/>
    <xf numFmtId="0" fontId="0" fillId="17" borderId="137" xfId="0" applyFill="1" applyBorder="1" applyAlignment="1">
      <alignment horizontal="center"/>
    </xf>
    <xf numFmtId="0" fontId="0" fillId="17" borderId="22" xfId="0" applyFill="1" applyBorder="1" applyAlignment="1">
      <alignment horizontal="center" vertical="top" wrapText="1"/>
    </xf>
    <xf numFmtId="0" fontId="55" fillId="0" borderId="0" xfId="0" applyFont="1"/>
    <xf numFmtId="2" fontId="37" fillId="14" borderId="67" xfId="0" applyNumberFormat="1" applyFont="1" applyFill="1" applyBorder="1" applyAlignment="1">
      <alignment horizontal="center" vertical="center"/>
    </xf>
    <xf numFmtId="2" fontId="37" fillId="14" borderId="29" xfId="0" applyNumberFormat="1" applyFont="1" applyFill="1" applyBorder="1" applyAlignment="1">
      <alignment horizontal="center" vertical="center"/>
    </xf>
    <xf numFmtId="0" fontId="33" fillId="12" borderId="78" xfId="0" applyFont="1" applyFill="1" applyBorder="1" applyAlignment="1">
      <alignment horizontal="center" vertical="top" wrapText="1"/>
    </xf>
    <xf numFmtId="0" fontId="33" fillId="12" borderId="6" xfId="0" applyFont="1" applyFill="1" applyBorder="1" applyAlignment="1">
      <alignment vertical="center"/>
    </xf>
    <xf numFmtId="0" fontId="33" fillId="12" borderId="0" xfId="0" applyFont="1" applyFill="1" applyBorder="1" applyAlignment="1">
      <alignment vertical="center"/>
    </xf>
    <xf numFmtId="0" fontId="33" fillId="12" borderId="24" xfId="0" applyFont="1" applyFill="1" applyBorder="1" applyAlignment="1">
      <alignment vertical="center"/>
    </xf>
    <xf numFmtId="0" fontId="33" fillId="12" borderId="78" xfId="0" applyFont="1" applyFill="1" applyBorder="1" applyAlignment="1">
      <alignment vertical="center" wrapText="1"/>
    </xf>
    <xf numFmtId="0" fontId="8" fillId="9" borderId="138" xfId="0" applyFont="1" applyFill="1" applyBorder="1"/>
    <xf numFmtId="0" fontId="8" fillId="9" borderId="134" xfId="0" applyFont="1" applyFill="1" applyBorder="1"/>
    <xf numFmtId="0" fontId="8" fillId="9" borderId="136" xfId="0" applyFont="1" applyFill="1" applyBorder="1"/>
    <xf numFmtId="0" fontId="0" fillId="25" borderId="109" xfId="0" applyFill="1" applyBorder="1"/>
    <xf numFmtId="0" fontId="0" fillId="25" borderId="22" xfId="0" applyFill="1" applyBorder="1"/>
    <xf numFmtId="0" fontId="30" fillId="17" borderId="22" xfId="0" applyFont="1" applyFill="1" applyBorder="1"/>
    <xf numFmtId="0" fontId="39" fillId="17" borderId="140" xfId="0" applyFont="1" applyFill="1" applyBorder="1" applyAlignment="1">
      <alignment horizontal="center" vertical="center"/>
    </xf>
    <xf numFmtId="0" fontId="39" fillId="17" borderId="141" xfId="0" applyFont="1" applyFill="1" applyBorder="1" applyAlignment="1">
      <alignment horizontal="center" vertical="center"/>
    </xf>
    <xf numFmtId="0" fontId="39" fillId="17" borderId="142" xfId="0" applyFont="1" applyFill="1" applyBorder="1" applyAlignment="1">
      <alignment horizontal="center" vertical="center"/>
    </xf>
    <xf numFmtId="0" fontId="39" fillId="17" borderId="143" xfId="0" applyFont="1" applyFill="1" applyBorder="1" applyAlignment="1">
      <alignment horizontal="center" vertical="center"/>
    </xf>
    <xf numFmtId="0" fontId="39" fillId="17" borderId="144" xfId="0" applyFont="1" applyFill="1" applyBorder="1" applyAlignment="1">
      <alignment horizontal="center" vertical="center"/>
    </xf>
    <xf numFmtId="0" fontId="39" fillId="17" borderId="145" xfId="0" applyFont="1" applyFill="1" applyBorder="1" applyAlignment="1">
      <alignment horizontal="center" vertical="center"/>
    </xf>
    <xf numFmtId="0" fontId="39" fillId="17" borderId="146" xfId="0" applyFont="1" applyFill="1" applyBorder="1" applyAlignment="1">
      <alignment horizontal="center" vertical="center"/>
    </xf>
    <xf numFmtId="0" fontId="39" fillId="17" borderId="147" xfId="0" applyFont="1" applyFill="1" applyBorder="1" applyAlignment="1">
      <alignment horizontal="center" vertical="center"/>
    </xf>
    <xf numFmtId="0" fontId="39" fillId="17" borderId="148" xfId="0" applyFont="1" applyFill="1" applyBorder="1" applyAlignment="1">
      <alignment horizontal="center" vertical="center"/>
    </xf>
    <xf numFmtId="0" fontId="0" fillId="25" borderId="22" xfId="0" applyFill="1" applyBorder="1" applyAlignment="1">
      <alignment wrapText="1"/>
    </xf>
    <xf numFmtId="0" fontId="58" fillId="21" borderId="109" xfId="6" applyFont="1" applyFill="1" applyBorder="1" applyAlignment="1">
      <alignment vertical="center"/>
    </xf>
    <xf numFmtId="0" fontId="58" fillId="21" borderId="22" xfId="6" applyFont="1" applyFill="1" applyBorder="1" applyAlignment="1">
      <alignment vertical="center"/>
    </xf>
    <xf numFmtId="0" fontId="0" fillId="17" borderId="22" xfId="0" applyFill="1" applyBorder="1" applyAlignment="1">
      <alignment wrapText="1"/>
    </xf>
    <xf numFmtId="0" fontId="8" fillId="0" borderId="58" xfId="0" applyFont="1" applyBorder="1" applyAlignment="1">
      <alignment horizont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8" fillId="19" borderId="120" xfId="0" applyFont="1" applyFill="1" applyBorder="1" applyProtection="1"/>
    <xf numFmtId="0" fontId="8" fillId="19" borderId="34" xfId="0" applyFont="1" applyFill="1" applyBorder="1" applyProtection="1"/>
    <xf numFmtId="0" fontId="8" fillId="19" borderId="108" xfId="0" applyFont="1" applyFill="1" applyBorder="1" applyProtection="1"/>
    <xf numFmtId="165" fontId="8" fillId="19" borderId="22" xfId="5" applyNumberFormat="1" applyFont="1" applyFill="1" applyBorder="1" applyProtection="1"/>
    <xf numFmtId="0" fontId="8" fillId="0" borderId="120" xfId="0" applyFont="1" applyBorder="1" applyProtection="1"/>
    <xf numFmtId="0" fontId="8" fillId="22" borderId="34" xfId="0" applyFont="1" applyFill="1" applyBorder="1" applyProtection="1"/>
    <xf numFmtId="0" fontId="8" fillId="22" borderId="108" xfId="0" applyFont="1" applyFill="1" applyBorder="1" applyProtection="1"/>
    <xf numFmtId="0" fontId="8" fillId="21" borderId="120" xfId="0" applyFont="1" applyFill="1" applyBorder="1" applyProtection="1"/>
    <xf numFmtId="0" fontId="8" fillId="21" borderId="34" xfId="0" applyFont="1" applyFill="1" applyBorder="1" applyProtection="1"/>
    <xf numFmtId="0" fontId="0" fillId="21" borderId="108" xfId="0" applyFont="1" applyFill="1" applyBorder="1" applyProtection="1"/>
    <xf numFmtId="0" fontId="8" fillId="21" borderId="117" xfId="0" applyFont="1" applyFill="1" applyBorder="1" applyProtection="1"/>
    <xf numFmtId="0" fontId="8" fillId="21" borderId="18" xfId="0" applyFont="1" applyFill="1" applyBorder="1" applyProtection="1"/>
    <xf numFmtId="0" fontId="0" fillId="21" borderId="111" xfId="0" applyFont="1" applyFill="1" applyBorder="1" applyProtection="1"/>
    <xf numFmtId="4" fontId="13" fillId="5" borderId="41" xfId="3" applyNumberFormat="1" applyFont="1" applyBorder="1" applyAlignment="1" applyProtection="1">
      <alignment horizontal="right" vertical="top" wrapText="1"/>
      <protection locked="0"/>
    </xf>
    <xf numFmtId="4" fontId="13" fillId="5" borderId="17" xfId="3" applyNumberFormat="1" applyFont="1" applyAlignment="1" applyProtection="1">
      <alignment horizontal="right" vertical="top" wrapText="1"/>
      <protection locked="0"/>
    </xf>
    <xf numFmtId="4" fontId="13" fillId="5" borderId="99" xfId="3" applyNumberFormat="1" applyFont="1" applyBorder="1" applyAlignment="1" applyProtection="1">
      <alignment horizontal="right" vertical="top" wrapText="1"/>
      <protection locked="0"/>
    </xf>
    <xf numFmtId="4" fontId="13" fillId="5" borderId="96" xfId="3" applyNumberFormat="1" applyFont="1" applyBorder="1" applyAlignment="1" applyProtection="1">
      <alignment horizontal="right" vertical="top" wrapText="1"/>
      <protection locked="0"/>
    </xf>
    <xf numFmtId="0" fontId="0" fillId="18" borderId="0" xfId="0" applyFill="1" applyAlignment="1" applyProtection="1">
      <alignment horizontal="left" vertical="top" wrapText="1"/>
    </xf>
    <xf numFmtId="0" fontId="30" fillId="0" borderId="0" xfId="0" applyFont="1" applyFill="1" applyAlignment="1" applyProtection="1">
      <alignment horizontal="left" vertical="top" wrapText="1"/>
    </xf>
    <xf numFmtId="0" fontId="0" fillId="0" borderId="0" xfId="0" applyFill="1" applyAlignment="1" applyProtection="1">
      <alignment horizontal="left" vertical="top" wrapText="1"/>
    </xf>
    <xf numFmtId="0" fontId="0" fillId="18" borderId="24" xfId="0" applyFill="1" applyBorder="1" applyAlignment="1" applyProtection="1">
      <alignment horizontal="center" vertical="top" wrapText="1"/>
    </xf>
    <xf numFmtId="0" fontId="0" fillId="18" borderId="0" xfId="0" applyFill="1" applyBorder="1" applyAlignment="1" applyProtection="1">
      <alignment horizontal="center" vertical="top" wrapText="1"/>
    </xf>
    <xf numFmtId="0" fontId="0" fillId="18" borderId="6" xfId="0" applyFill="1" applyBorder="1" applyAlignment="1" applyProtection="1">
      <alignment horizontal="center" vertical="top" wrapText="1"/>
    </xf>
    <xf numFmtId="0" fontId="9" fillId="18" borderId="0" xfId="0" applyFont="1" applyFill="1" applyAlignment="1" applyProtection="1">
      <alignment horizontal="left" vertical="top" wrapText="1"/>
    </xf>
    <xf numFmtId="0" fontId="9" fillId="18" borderId="0" xfId="0" applyFont="1" applyFill="1" applyBorder="1" applyAlignment="1" applyProtection="1">
      <alignment horizontal="left" vertical="top" wrapText="1"/>
    </xf>
    <xf numFmtId="0" fontId="9" fillId="18" borderId="15" xfId="0" applyFont="1" applyFill="1" applyBorder="1" applyAlignment="1" applyProtection="1">
      <alignment horizontal="left" vertical="top" wrapText="1"/>
    </xf>
    <xf numFmtId="0" fontId="9" fillId="18" borderId="26" xfId="0" applyFont="1" applyFill="1" applyBorder="1" applyAlignment="1" applyProtection="1">
      <alignment horizontal="left" vertical="top" wrapText="1"/>
    </xf>
    <xf numFmtId="0" fontId="9" fillId="18" borderId="5" xfId="0" applyFont="1" applyFill="1" applyBorder="1" applyAlignment="1" applyProtection="1">
      <alignment horizontal="left" vertical="top" wrapText="1"/>
    </xf>
    <xf numFmtId="0" fontId="9" fillId="18" borderId="0" xfId="0" applyFont="1" applyFill="1" applyBorder="1" applyAlignment="1" applyProtection="1">
      <alignment horizontal="center" vertical="top" wrapText="1"/>
    </xf>
    <xf numFmtId="0" fontId="9" fillId="18" borderId="27" xfId="0" applyFont="1" applyFill="1" applyBorder="1" applyAlignment="1" applyProtection="1">
      <alignment horizontal="center" vertical="top" wrapText="1"/>
    </xf>
    <xf numFmtId="0" fontId="9" fillId="18" borderId="19" xfId="0" applyFont="1" applyFill="1" applyBorder="1" applyAlignment="1" applyProtection="1">
      <alignment horizontal="center" vertical="top" wrapText="1"/>
    </xf>
    <xf numFmtId="0" fontId="12" fillId="0" borderId="0" xfId="0" applyFont="1" applyFill="1" applyAlignment="1" applyProtection="1">
      <alignment horizontal="left" vertical="top" wrapText="1"/>
    </xf>
    <xf numFmtId="0" fontId="9" fillId="0" borderId="0" xfId="0" applyFont="1" applyFill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167" fontId="0" fillId="0" borderId="14" xfId="5" applyNumberFormat="1" applyFont="1" applyBorder="1" applyAlignment="1" applyProtection="1">
      <alignment horizontal="center" vertical="center" wrapText="1"/>
    </xf>
    <xf numFmtId="167" fontId="0" fillId="0" borderId="23" xfId="5" applyNumberFormat="1" applyFont="1" applyBorder="1" applyAlignment="1" applyProtection="1">
      <alignment horizontal="center" vertical="center" wrapText="1"/>
    </xf>
    <xf numFmtId="167" fontId="0" fillId="0" borderId="13" xfId="5" applyNumberFormat="1" applyFont="1" applyBorder="1" applyAlignment="1" applyProtection="1">
      <alignment horizontal="center" vertical="center" wrapText="1"/>
    </xf>
    <xf numFmtId="167" fontId="13" fillId="5" borderId="53" xfId="5" applyNumberFormat="1" applyFont="1" applyFill="1" applyBorder="1" applyAlignment="1" applyProtection="1">
      <alignment horizontal="center" vertical="center" wrapText="1"/>
    </xf>
    <xf numFmtId="167" fontId="53" fillId="20" borderId="53" xfId="5" applyNumberFormat="1" applyFont="1" applyFill="1" applyBorder="1" applyAlignment="1" applyProtection="1">
      <alignment horizontal="center" vertical="center" wrapText="1"/>
    </xf>
    <xf numFmtId="9" fontId="30" fillId="0" borderId="0" xfId="4" applyFont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167" fontId="0" fillId="0" borderId="24" xfId="5" applyNumberFormat="1" applyFont="1" applyBorder="1" applyAlignment="1" applyProtection="1">
      <alignment horizontal="center" vertical="center" wrapText="1"/>
    </xf>
    <xf numFmtId="167" fontId="0" fillId="0" borderId="0" xfId="5" applyNumberFormat="1" applyFont="1" applyBorder="1" applyAlignment="1" applyProtection="1">
      <alignment horizontal="center" vertical="center" wrapText="1"/>
    </xf>
    <xf numFmtId="167" fontId="0" fillId="0" borderId="6" xfId="5" applyNumberFormat="1" applyFont="1" applyBorder="1" applyAlignment="1" applyProtection="1">
      <alignment horizontal="center" vertical="center" wrapText="1"/>
    </xf>
    <xf numFmtId="167" fontId="13" fillId="5" borderId="41" xfId="5" applyNumberFormat="1" applyFont="1" applyFill="1" applyBorder="1" applyAlignment="1" applyProtection="1">
      <alignment horizontal="center" vertical="center" wrapText="1"/>
    </xf>
    <xf numFmtId="167" fontId="13" fillId="5" borderId="17" xfId="5" applyNumberFormat="1" applyFont="1" applyFill="1" applyBorder="1" applyAlignment="1" applyProtection="1">
      <alignment horizontal="center" vertical="center" wrapText="1"/>
    </xf>
    <xf numFmtId="167" fontId="53" fillId="20" borderId="17" xfId="5" applyNumberFormat="1" applyFont="1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left" vertical="top" wrapText="1"/>
    </xf>
    <xf numFmtId="167" fontId="0" fillId="0" borderId="15" xfId="5" applyNumberFormat="1" applyFont="1" applyBorder="1" applyAlignment="1" applyProtection="1">
      <alignment horizontal="center" vertical="center" wrapText="1"/>
    </xf>
    <xf numFmtId="167" fontId="0" fillId="0" borderId="26" xfId="5" applyNumberFormat="1" applyFont="1" applyBorder="1" applyAlignment="1" applyProtection="1">
      <alignment horizontal="center" vertical="center" wrapText="1"/>
    </xf>
    <xf numFmtId="167" fontId="0" fillId="0" borderId="5" xfId="5" applyNumberFormat="1" applyFont="1" applyBorder="1" applyAlignment="1" applyProtection="1">
      <alignment horizontal="center" vertical="center" wrapText="1"/>
    </xf>
    <xf numFmtId="167" fontId="13" fillId="5" borderId="55" xfId="5" applyNumberFormat="1" applyFont="1" applyFill="1" applyBorder="1" applyAlignment="1" applyProtection="1">
      <alignment horizontal="center" vertical="center" wrapText="1"/>
    </xf>
    <xf numFmtId="167" fontId="53" fillId="20" borderId="55" xfId="5" applyNumberFormat="1" applyFont="1" applyFill="1" applyBorder="1" applyAlignment="1" applyProtection="1">
      <alignment horizontal="center" vertical="center" wrapText="1"/>
    </xf>
    <xf numFmtId="168" fontId="0" fillId="0" borderId="14" xfId="0" applyNumberFormat="1" applyBorder="1" applyAlignment="1" applyProtection="1">
      <alignment horizontal="center" vertical="center" wrapText="1"/>
    </xf>
    <xf numFmtId="168" fontId="0" fillId="0" borderId="23" xfId="0" applyNumberFormat="1" applyBorder="1" applyAlignment="1" applyProtection="1">
      <alignment horizontal="center" vertical="center" wrapText="1"/>
    </xf>
    <xf numFmtId="168" fontId="0" fillId="0" borderId="13" xfId="0" applyNumberFormat="1" applyBorder="1" applyAlignment="1" applyProtection="1">
      <alignment horizontal="center" vertical="center" wrapText="1"/>
    </xf>
    <xf numFmtId="168" fontId="13" fillId="5" borderId="82" xfId="3" applyNumberFormat="1" applyFont="1" applyBorder="1" applyAlignment="1" applyProtection="1">
      <alignment horizontal="center" vertical="center" wrapText="1"/>
    </xf>
    <xf numFmtId="168" fontId="13" fillId="5" borderId="53" xfId="3" applyNumberFormat="1" applyFont="1" applyBorder="1" applyAlignment="1" applyProtection="1">
      <alignment horizontal="center" vertical="center" wrapText="1"/>
    </xf>
    <xf numFmtId="168" fontId="53" fillId="20" borderId="53" xfId="3" applyNumberFormat="1" applyFont="1" applyFill="1" applyBorder="1" applyAlignment="1" applyProtection="1">
      <alignment horizontal="center" vertical="center" wrapText="1"/>
    </xf>
    <xf numFmtId="168" fontId="0" fillId="0" borderId="24" xfId="0" applyNumberFormat="1" applyBorder="1" applyAlignment="1" applyProtection="1">
      <alignment horizontal="center" vertical="center" wrapText="1"/>
    </xf>
    <xf numFmtId="168" fontId="0" fillId="0" borderId="0" xfId="0" applyNumberFormat="1" applyBorder="1" applyAlignment="1" applyProtection="1">
      <alignment horizontal="center" vertical="center" wrapText="1"/>
    </xf>
    <xf numFmtId="168" fontId="0" fillId="0" borderId="6" xfId="0" applyNumberFormat="1" applyBorder="1" applyAlignment="1" applyProtection="1">
      <alignment horizontal="center" vertical="center" wrapText="1"/>
    </xf>
    <xf numFmtId="168" fontId="13" fillId="5" borderId="41" xfId="3" applyNumberFormat="1" applyFont="1" applyBorder="1" applyAlignment="1" applyProtection="1">
      <alignment horizontal="center" vertical="center" wrapText="1"/>
    </xf>
    <xf numFmtId="168" fontId="13" fillId="5" borderId="17" xfId="3" applyNumberFormat="1" applyFont="1" applyBorder="1" applyAlignment="1" applyProtection="1">
      <alignment horizontal="center" vertical="center" wrapText="1"/>
    </xf>
    <xf numFmtId="168" fontId="53" fillId="20" borderId="17" xfId="3" applyNumberFormat="1" applyFont="1" applyFill="1" applyBorder="1" applyAlignment="1" applyProtection="1">
      <alignment horizontal="center" vertical="center" wrapText="1"/>
    </xf>
    <xf numFmtId="168" fontId="0" fillId="0" borderId="15" xfId="0" applyNumberFormat="1" applyBorder="1" applyAlignment="1" applyProtection="1">
      <alignment horizontal="center" vertical="center" wrapText="1"/>
    </xf>
    <xf numFmtId="168" fontId="0" fillId="0" borderId="26" xfId="0" applyNumberFormat="1" applyBorder="1" applyAlignment="1" applyProtection="1">
      <alignment horizontal="center" vertical="center" wrapText="1"/>
    </xf>
    <xf numFmtId="168" fontId="0" fillId="0" borderId="5" xfId="0" applyNumberFormat="1" applyBorder="1" applyAlignment="1" applyProtection="1">
      <alignment horizontal="center" vertical="center" wrapText="1"/>
    </xf>
    <xf numFmtId="168" fontId="13" fillId="5" borderId="83" xfId="3" applyNumberFormat="1" applyFont="1" applyBorder="1" applyAlignment="1" applyProtection="1">
      <alignment horizontal="center" vertical="center" wrapText="1"/>
    </xf>
    <xf numFmtId="168" fontId="13" fillId="5" borderId="55" xfId="3" applyNumberFormat="1" applyFont="1" applyBorder="1" applyAlignment="1" applyProtection="1">
      <alignment horizontal="center" vertical="center" wrapText="1"/>
    </xf>
    <xf numFmtId="168" fontId="53" fillId="20" borderId="55" xfId="3" applyNumberFormat="1" applyFont="1" applyFill="1" applyBorder="1" applyAlignment="1" applyProtection="1">
      <alignment horizontal="center" vertical="center" wrapText="1"/>
    </xf>
    <xf numFmtId="9" fontId="30" fillId="0" borderId="18" xfId="0" applyNumberFormat="1" applyFont="1" applyBorder="1" applyAlignment="1" applyProtection="1">
      <alignment horizontal="left" vertical="top" wrapText="1"/>
    </xf>
    <xf numFmtId="0" fontId="0" fillId="0" borderId="18" xfId="0" applyBorder="1" applyAlignment="1" applyProtection="1">
      <alignment horizontal="left" vertical="top" wrapText="1"/>
    </xf>
    <xf numFmtId="0" fontId="30" fillId="0" borderId="0" xfId="0" applyFont="1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30" fillId="0" borderId="21" xfId="0" applyFont="1" applyBorder="1" applyAlignment="1" applyProtection="1">
      <alignment horizontal="left" vertical="top" wrapText="1"/>
    </xf>
    <xf numFmtId="0" fontId="0" fillId="0" borderId="21" xfId="0" applyBorder="1" applyAlignment="1" applyProtection="1">
      <alignment horizontal="left" vertical="top" wrapText="1"/>
    </xf>
    <xf numFmtId="0" fontId="8" fillId="16" borderId="28" xfId="0" applyFont="1" applyFill="1" applyBorder="1" applyAlignment="1" applyProtection="1">
      <alignment horizontal="left" vertical="top" wrapText="1"/>
    </xf>
    <xf numFmtId="0" fontId="0" fillId="16" borderId="29" xfId="0" applyFill="1" applyBorder="1" applyAlignment="1" applyProtection="1">
      <alignment horizontal="left" vertical="top" wrapText="1"/>
    </xf>
    <xf numFmtId="0" fontId="0" fillId="16" borderId="30" xfId="0" applyFill="1" applyBorder="1" applyAlignment="1" applyProtection="1">
      <alignment horizontal="left" vertical="top" wrapText="1"/>
    </xf>
    <xf numFmtId="0" fontId="51" fillId="16" borderId="29" xfId="0" applyFont="1" applyFill="1" applyBorder="1" applyAlignment="1" applyProtection="1">
      <alignment horizontal="left" vertical="top" wrapText="1"/>
    </xf>
    <xf numFmtId="0" fontId="13" fillId="16" borderId="130" xfId="3" applyFont="1" applyFill="1" applyBorder="1" applyAlignment="1" applyProtection="1">
      <alignment horizontal="right" vertical="top" wrapText="1"/>
    </xf>
    <xf numFmtId="0" fontId="53" fillId="16" borderId="130" xfId="3" applyFont="1" applyFill="1" applyBorder="1" applyAlignment="1" applyProtection="1">
      <alignment horizontal="right" vertical="top" wrapText="1"/>
    </xf>
    <xf numFmtId="0" fontId="0" fillId="7" borderId="6" xfId="0" applyFill="1" applyBorder="1" applyAlignment="1" applyProtection="1">
      <alignment horizontal="left" vertical="top" wrapText="1"/>
    </xf>
    <xf numFmtId="167" fontId="54" fillId="20" borderId="24" xfId="5" applyNumberFormat="1" applyFont="1" applyFill="1" applyBorder="1" applyAlignment="1" applyProtection="1">
      <alignment horizontal="center" vertical="center" wrapText="1"/>
    </xf>
    <xf numFmtId="167" fontId="54" fillId="20" borderId="0" xfId="5" applyNumberFormat="1" applyFont="1" applyFill="1" applyBorder="1" applyAlignment="1" applyProtection="1">
      <alignment horizontal="center" vertical="center" wrapText="1"/>
    </xf>
    <xf numFmtId="167" fontId="54" fillId="20" borderId="6" xfId="5" applyNumberFormat="1" applyFont="1" applyFill="1" applyBorder="1" applyAlignment="1" applyProtection="1">
      <alignment horizontal="center" vertical="center" wrapText="1"/>
    </xf>
    <xf numFmtId="167" fontId="53" fillId="23" borderId="129" xfId="5" applyNumberFormat="1" applyFont="1" applyFill="1" applyBorder="1" applyAlignment="1" applyProtection="1">
      <alignment horizontal="center" vertical="center" wrapText="1"/>
    </xf>
    <xf numFmtId="167" fontId="53" fillId="20" borderId="129" xfId="5" applyNumberFormat="1" applyFont="1" applyFill="1" applyBorder="1" applyAlignment="1" applyProtection="1">
      <alignment horizontal="center" vertical="center" wrapText="1"/>
    </xf>
    <xf numFmtId="9" fontId="30" fillId="0" borderId="24" xfId="0" applyNumberFormat="1" applyFont="1" applyBorder="1" applyAlignment="1" applyProtection="1">
      <alignment horizontal="left" vertical="top" wrapText="1"/>
    </xf>
    <xf numFmtId="167" fontId="53" fillId="23" borderId="17" xfId="5" applyNumberFormat="1" applyFont="1" applyFill="1" applyBorder="1" applyAlignment="1" applyProtection="1">
      <alignment horizontal="center" vertical="center" wrapText="1"/>
    </xf>
    <xf numFmtId="0" fontId="0" fillId="7" borderId="5" xfId="0" applyFill="1" applyBorder="1" applyAlignment="1" applyProtection="1">
      <alignment horizontal="left" vertical="top" wrapText="1"/>
    </xf>
    <xf numFmtId="167" fontId="54" fillId="20" borderId="15" xfId="5" applyNumberFormat="1" applyFont="1" applyFill="1" applyBorder="1" applyAlignment="1" applyProtection="1">
      <alignment horizontal="center" vertical="center" wrapText="1"/>
    </xf>
    <xf numFmtId="167" fontId="54" fillId="20" borderId="26" xfId="5" applyNumberFormat="1" applyFont="1" applyFill="1" applyBorder="1" applyAlignment="1" applyProtection="1">
      <alignment horizontal="center" vertical="center" wrapText="1"/>
    </xf>
    <xf numFmtId="167" fontId="54" fillId="20" borderId="5" xfId="5" applyNumberFormat="1" applyFont="1" applyFill="1" applyBorder="1" applyAlignment="1" applyProtection="1">
      <alignment horizontal="center" vertical="center" wrapText="1"/>
    </xf>
    <xf numFmtId="167" fontId="53" fillId="23" borderId="55" xfId="5" applyNumberFormat="1" applyFont="1" applyFill="1" applyBorder="1" applyAlignment="1" applyProtection="1">
      <alignment horizontal="center" vertical="center" wrapText="1"/>
    </xf>
    <xf numFmtId="167" fontId="53" fillId="23" borderId="53" xfId="5" applyNumberFormat="1" applyFont="1" applyFill="1" applyBorder="1" applyAlignment="1" applyProtection="1">
      <alignment horizontal="center" vertical="center" wrapText="1"/>
    </xf>
    <xf numFmtId="0" fontId="30" fillId="0" borderId="0" xfId="0" applyFont="1" applyAlignment="1" applyProtection="1">
      <alignment horizontal="left" vertical="top" wrapText="1"/>
    </xf>
    <xf numFmtId="168" fontId="54" fillId="20" borderId="24" xfId="5" applyNumberFormat="1" applyFont="1" applyFill="1" applyBorder="1" applyAlignment="1" applyProtection="1">
      <alignment horizontal="center" vertical="center" wrapText="1"/>
    </xf>
    <xf numFmtId="168" fontId="54" fillId="20" borderId="0" xfId="5" applyNumberFormat="1" applyFont="1" applyFill="1" applyBorder="1" applyAlignment="1" applyProtection="1">
      <alignment horizontal="center" vertical="center" wrapText="1"/>
    </xf>
    <xf numFmtId="168" fontId="54" fillId="20" borderId="6" xfId="5" applyNumberFormat="1" applyFont="1" applyFill="1" applyBorder="1" applyAlignment="1" applyProtection="1">
      <alignment horizontal="center" vertical="center" wrapText="1"/>
    </xf>
    <xf numFmtId="168" fontId="53" fillId="23" borderId="53" xfId="5" applyNumberFormat="1" applyFont="1" applyFill="1" applyBorder="1" applyAlignment="1" applyProtection="1">
      <alignment horizontal="center" vertical="center" wrapText="1"/>
    </xf>
    <xf numFmtId="168" fontId="53" fillId="20" borderId="53" xfId="5" applyNumberFormat="1" applyFont="1" applyFill="1" applyBorder="1" applyAlignment="1" applyProtection="1">
      <alignment horizontal="center" vertical="center" wrapText="1"/>
    </xf>
    <xf numFmtId="168" fontId="53" fillId="23" borderId="17" xfId="5" applyNumberFormat="1" applyFont="1" applyFill="1" applyBorder="1" applyAlignment="1" applyProtection="1">
      <alignment horizontal="center" vertical="center" wrapText="1"/>
    </xf>
    <xf numFmtId="168" fontId="53" fillId="20" borderId="17" xfId="5" applyNumberFormat="1" applyFont="1" applyFill="1" applyBorder="1" applyAlignment="1" applyProtection="1">
      <alignment horizontal="center" vertical="center" wrapText="1"/>
    </xf>
    <xf numFmtId="168" fontId="54" fillId="20" borderId="15" xfId="5" applyNumberFormat="1" applyFont="1" applyFill="1" applyBorder="1" applyAlignment="1" applyProtection="1">
      <alignment horizontal="center" vertical="center" wrapText="1"/>
    </xf>
    <xf numFmtId="168" fontId="54" fillId="20" borderId="26" xfId="5" applyNumberFormat="1" applyFont="1" applyFill="1" applyBorder="1" applyAlignment="1" applyProtection="1">
      <alignment horizontal="center" vertical="center" wrapText="1"/>
    </xf>
    <xf numFmtId="168" fontId="54" fillId="20" borderId="5" xfId="5" applyNumberFormat="1" applyFont="1" applyFill="1" applyBorder="1" applyAlignment="1" applyProtection="1">
      <alignment horizontal="center" vertical="center" wrapText="1"/>
    </xf>
    <xf numFmtId="168" fontId="53" fillId="23" borderId="55" xfId="5" applyNumberFormat="1" applyFont="1" applyFill="1" applyBorder="1" applyAlignment="1" applyProtection="1">
      <alignment horizontal="center" vertical="center" wrapText="1"/>
    </xf>
    <xf numFmtId="168" fontId="53" fillId="20" borderId="55" xfId="5" applyNumberFormat="1" applyFont="1" applyFill="1" applyBorder="1" applyAlignment="1" applyProtection="1">
      <alignment horizontal="center" vertical="center" wrapText="1"/>
    </xf>
    <xf numFmtId="0" fontId="0" fillId="0" borderId="20" xfId="0" applyBorder="1" applyAlignment="1" applyProtection="1">
      <alignment horizontal="left" vertical="top" wrapText="1"/>
    </xf>
    <xf numFmtId="0" fontId="0" fillId="0" borderId="19" xfId="0" applyBorder="1" applyAlignment="1" applyProtection="1">
      <alignment horizontal="left" vertical="top" wrapText="1"/>
    </xf>
    <xf numFmtId="0" fontId="0" fillId="0" borderId="6" xfId="0" applyFont="1" applyBorder="1" applyAlignment="1">
      <alignment horizontal="left"/>
    </xf>
    <xf numFmtId="3" fontId="7" fillId="4" borderId="78" xfId="2" applyNumberFormat="1" applyBorder="1" applyAlignment="1">
      <alignment horizontal="right"/>
    </xf>
    <xf numFmtId="0" fontId="32" fillId="17" borderId="149" xfId="0" applyFont="1" applyFill="1" applyBorder="1" applyAlignment="1">
      <alignment horizontal="center" vertical="center"/>
    </xf>
    <xf numFmtId="0" fontId="32" fillId="0" borderId="149" xfId="0" applyFont="1" applyBorder="1" applyAlignment="1">
      <alignment horizontal="center" vertical="center"/>
    </xf>
    <xf numFmtId="0" fontId="32" fillId="0" borderId="123" xfId="0" applyFont="1" applyFill="1" applyBorder="1" applyAlignment="1">
      <alignment horizontal="center" vertical="center"/>
    </xf>
    <xf numFmtId="0" fontId="32" fillId="0" borderId="122" xfId="0" applyFont="1" applyFill="1" applyBorder="1" applyAlignment="1">
      <alignment horizontal="center" vertical="center"/>
    </xf>
    <xf numFmtId="3" fontId="7" fillId="4" borderId="36" xfId="2" applyNumberFormat="1" applyBorder="1" applyProtection="1">
      <protection locked="0"/>
    </xf>
    <xf numFmtId="3" fontId="7" fillId="4" borderId="76" xfId="2" applyNumberFormat="1" applyBorder="1" applyProtection="1">
      <protection locked="0"/>
    </xf>
    <xf numFmtId="0" fontId="5" fillId="26" borderId="4" xfId="0" applyFont="1" applyFill="1" applyBorder="1" applyAlignment="1">
      <alignment horizontal="left" vertical="top" wrapText="1"/>
    </xf>
    <xf numFmtId="0" fontId="5" fillId="26" borderId="5" xfId="0" applyFont="1" applyFill="1" applyBorder="1" applyAlignment="1">
      <alignment horizontal="justify" vertical="top" wrapText="1"/>
    </xf>
    <xf numFmtId="0" fontId="5" fillId="26" borderId="5" xfId="0" applyFont="1" applyFill="1" applyBorder="1" applyAlignment="1">
      <alignment horizontal="center" vertical="top" wrapText="1"/>
    </xf>
    <xf numFmtId="0" fontId="5" fillId="26" borderId="6" xfId="0" applyFont="1" applyFill="1" applyBorder="1" applyAlignment="1">
      <alignment horizontal="justify" vertical="top" wrapText="1"/>
    </xf>
    <xf numFmtId="0" fontId="5" fillId="26" borderId="24" xfId="0" applyFont="1" applyFill="1" applyBorder="1" applyAlignment="1">
      <alignment horizontal="left" vertical="top" wrapText="1"/>
    </xf>
    <xf numFmtId="0" fontId="5" fillId="26" borderId="67" xfId="0" applyFont="1" applyFill="1" applyBorder="1" applyAlignment="1">
      <alignment horizontal="justify" vertical="top" wrapText="1"/>
    </xf>
    <xf numFmtId="0" fontId="5" fillId="26" borderId="6" xfId="0" applyFont="1" applyFill="1" applyBorder="1" applyAlignment="1">
      <alignment horizontal="center" vertical="top" wrapText="1"/>
    </xf>
    <xf numFmtId="0" fontId="5" fillId="26" borderId="67" xfId="0" applyFont="1" applyFill="1" applyBorder="1" applyAlignment="1">
      <alignment horizontal="left" vertical="top" wrapText="1"/>
    </xf>
    <xf numFmtId="0" fontId="5" fillId="26" borderId="67" xfId="0" applyFont="1" applyFill="1" applyBorder="1" applyAlignment="1">
      <alignment horizontal="center" vertical="top" wrapText="1"/>
    </xf>
    <xf numFmtId="2" fontId="3" fillId="17" borderId="6" xfId="1" applyNumberFormat="1" applyFont="1" applyFill="1" applyBorder="1" applyAlignment="1">
      <alignment vertical="top" wrapText="1"/>
    </xf>
    <xf numFmtId="2" fontId="3" fillId="17" borderId="67" xfId="1" applyNumberFormat="1" applyFont="1" applyFill="1" applyBorder="1" applyAlignment="1">
      <alignment vertical="top" wrapText="1"/>
    </xf>
    <xf numFmtId="0" fontId="23" fillId="0" borderId="0" xfId="0" applyFont="1" applyAlignment="1" applyProtection="1">
      <alignment vertical="center"/>
    </xf>
    <xf numFmtId="0" fontId="0" fillId="0" borderId="0" xfId="0" applyProtection="1"/>
    <xf numFmtId="165" fontId="8" fillId="19" borderId="131" xfId="5" applyNumberFormat="1" applyFont="1" applyFill="1" applyBorder="1" applyProtection="1"/>
    <xf numFmtId="0" fontId="52" fillId="0" borderId="0" xfId="0" applyFont="1" applyFill="1" applyProtection="1"/>
    <xf numFmtId="0" fontId="8" fillId="0" borderId="120" xfId="0" applyFont="1" applyFill="1" applyBorder="1" applyProtection="1"/>
    <xf numFmtId="0" fontId="0" fillId="0" borderId="120" xfId="0" applyBorder="1" applyProtection="1"/>
    <xf numFmtId="0" fontId="0" fillId="0" borderId="34" xfId="0" applyBorder="1" applyProtection="1"/>
    <xf numFmtId="0" fontId="0" fillId="17" borderId="108" xfId="0" applyFont="1" applyFill="1" applyBorder="1" applyProtection="1"/>
    <xf numFmtId="0" fontId="0" fillId="0" borderId="0" xfId="0" applyFill="1" applyBorder="1" applyProtection="1"/>
    <xf numFmtId="0" fontId="0" fillId="17" borderId="108" xfId="0" applyFill="1" applyBorder="1" applyProtection="1"/>
    <xf numFmtId="0" fontId="0" fillId="0" borderId="0" xfId="0" applyFill="1" applyProtection="1"/>
    <xf numFmtId="0" fontId="0" fillId="0" borderId="0" xfId="0" applyAlignment="1" applyProtection="1"/>
    <xf numFmtId="44" fontId="36" fillId="17" borderId="150" xfId="7" applyFont="1" applyFill="1" applyBorder="1" applyAlignment="1">
      <alignment horizontal="left" vertical="center"/>
    </xf>
    <xf numFmtId="0" fontId="33" fillId="12" borderId="67" xfId="0" applyFont="1" applyFill="1" applyBorder="1" applyAlignment="1">
      <alignment horizontal="left" vertical="center"/>
    </xf>
    <xf numFmtId="0" fontId="36" fillId="17" borderId="127" xfId="0" applyFont="1" applyFill="1" applyBorder="1" applyAlignment="1">
      <alignment horizontal="center" vertical="center"/>
    </xf>
    <xf numFmtId="44" fontId="53" fillId="20" borderId="151" xfId="7" applyFont="1" applyFill="1" applyBorder="1" applyAlignment="1" applyProtection="1">
      <alignment horizontal="center" vertical="center" wrapText="1"/>
    </xf>
    <xf numFmtId="0" fontId="33" fillId="12" borderId="67" xfId="0" applyFont="1" applyFill="1" applyBorder="1" applyAlignment="1">
      <alignment horizontal="center" vertical="center"/>
    </xf>
    <xf numFmtId="44" fontId="36" fillId="17" borderId="127" xfId="7" applyFont="1" applyFill="1" applyBorder="1" applyAlignment="1">
      <alignment horizontal="center" vertical="center"/>
    </xf>
    <xf numFmtId="0" fontId="50" fillId="0" borderId="26" xfId="0" applyFont="1" applyBorder="1" applyAlignment="1">
      <alignment horizontal="center" vertical="center"/>
    </xf>
    <xf numFmtId="165" fontId="59" fillId="19" borderId="22" xfId="5" applyNumberFormat="1" applyFont="1" applyFill="1" applyBorder="1" applyProtection="1"/>
    <xf numFmtId="165" fontId="59" fillId="19" borderId="131" xfId="5" applyNumberFormat="1" applyFont="1" applyFill="1" applyBorder="1" applyProtection="1"/>
    <xf numFmtId="165" fontId="54" fillId="22" borderId="22" xfId="5" applyNumberFormat="1" applyFont="1" applyFill="1" applyBorder="1" applyProtection="1"/>
    <xf numFmtId="165" fontId="54" fillId="22" borderId="131" xfId="5" applyNumberFormat="1" applyFont="1" applyFill="1" applyBorder="1" applyProtection="1"/>
    <xf numFmtId="165" fontId="60" fillId="21" borderId="22" xfId="5" applyNumberFormat="1" applyFont="1" applyFill="1" applyBorder="1" applyProtection="1"/>
    <xf numFmtId="165" fontId="60" fillId="21" borderId="131" xfId="5" applyNumberFormat="1" applyFont="1" applyFill="1" applyBorder="1" applyProtection="1"/>
    <xf numFmtId="165" fontId="60" fillId="21" borderId="22" xfId="5" applyNumberFormat="1" applyFont="1" applyFill="1" applyBorder="1" applyAlignment="1" applyProtection="1">
      <alignment horizontal="center"/>
    </xf>
    <xf numFmtId="165" fontId="60" fillId="21" borderId="131" xfId="5" applyNumberFormat="1" applyFont="1" applyFill="1" applyBorder="1" applyAlignment="1" applyProtection="1">
      <alignment horizontal="center"/>
    </xf>
    <xf numFmtId="165" fontId="60" fillId="21" borderId="84" xfId="5" applyNumberFormat="1" applyFont="1" applyFill="1" applyBorder="1" applyProtection="1"/>
    <xf numFmtId="165" fontId="60" fillId="21" borderId="139" xfId="5" applyNumberFormat="1" applyFont="1" applyFill="1" applyBorder="1" applyProtection="1"/>
    <xf numFmtId="165" fontId="60" fillId="21" borderId="132" xfId="5" applyNumberFormat="1" applyFont="1" applyFill="1" applyBorder="1" applyProtection="1"/>
    <xf numFmtId="0" fontId="64" fillId="13" borderId="6" xfId="0" applyFont="1" applyFill="1" applyBorder="1" applyAlignment="1">
      <alignment horizontal="center" vertical="center"/>
    </xf>
    <xf numFmtId="3" fontId="65" fillId="14" borderId="28" xfId="0" applyNumberFormat="1" applyFont="1" applyFill="1" applyBorder="1" applyAlignment="1">
      <alignment horizontal="center" vertical="center"/>
    </xf>
    <xf numFmtId="3" fontId="65" fillId="14" borderId="30" xfId="0" applyNumberFormat="1" applyFont="1" applyFill="1" applyBorder="1" applyAlignment="1">
      <alignment horizontal="center" vertical="center"/>
    </xf>
    <xf numFmtId="0" fontId="64" fillId="22" borderId="24" xfId="0" applyFont="1" applyFill="1" applyBorder="1" applyAlignment="1">
      <alignment horizontal="center" vertical="center"/>
    </xf>
    <xf numFmtId="0" fontId="64" fillId="22" borderId="6" xfId="0" applyFont="1" applyFill="1" applyBorder="1" applyAlignment="1">
      <alignment horizontal="center" vertical="center"/>
    </xf>
    <xf numFmtId="3" fontId="64" fillId="22" borderId="24" xfId="0" applyNumberFormat="1" applyFont="1" applyFill="1" applyBorder="1" applyAlignment="1">
      <alignment horizontal="center" vertical="center"/>
    </xf>
    <xf numFmtId="3" fontId="64" fillId="22" borderId="6" xfId="0" applyNumberFormat="1" applyFont="1" applyFill="1" applyBorder="1" applyAlignment="1">
      <alignment horizontal="center" vertical="center"/>
    </xf>
    <xf numFmtId="0" fontId="64" fillId="22" borderId="123" xfId="0" applyFont="1" applyFill="1" applyBorder="1" applyAlignment="1">
      <alignment horizontal="center" vertical="center"/>
    </xf>
    <xf numFmtId="0" fontId="64" fillId="22" borderId="122" xfId="0" applyFont="1" applyFill="1" applyBorder="1" applyAlignment="1">
      <alignment horizontal="center" vertical="center"/>
    </xf>
    <xf numFmtId="0" fontId="32" fillId="17" borderId="24" xfId="0" applyFont="1" applyFill="1" applyBorder="1" applyAlignment="1">
      <alignment horizontal="center" vertical="center"/>
    </xf>
    <xf numFmtId="0" fontId="32" fillId="17" borderId="123" xfId="0" applyFont="1" applyFill="1" applyBorder="1" applyAlignment="1">
      <alignment horizontal="center" vertical="center"/>
    </xf>
    <xf numFmtId="0" fontId="32" fillId="17" borderId="124" xfId="0" applyFont="1" applyFill="1" applyBorder="1" applyAlignment="1">
      <alignment horizontal="center" vertical="center"/>
    </xf>
    <xf numFmtId="0" fontId="32" fillId="17" borderId="89" xfId="3" applyFont="1" applyFill="1" applyBorder="1" applyAlignment="1">
      <alignment horizontal="center"/>
    </xf>
    <xf numFmtId="0" fontId="32" fillId="17" borderId="128" xfId="3" applyFont="1" applyFill="1" applyBorder="1" applyAlignment="1">
      <alignment horizontal="center"/>
    </xf>
    <xf numFmtId="0" fontId="32" fillId="17" borderId="90" xfId="3" applyFont="1" applyFill="1" applyBorder="1" applyAlignment="1">
      <alignment horizontal="center"/>
    </xf>
    <xf numFmtId="0" fontId="61" fillId="22" borderId="63" xfId="0" applyFont="1" applyFill="1" applyBorder="1" applyAlignment="1">
      <alignment horizontal="center" vertical="center"/>
    </xf>
    <xf numFmtId="0" fontId="61" fillId="22" borderId="62" xfId="0" applyFont="1" applyFill="1" applyBorder="1" applyAlignment="1">
      <alignment horizontal="center" vertical="center"/>
    </xf>
    <xf numFmtId="0" fontId="54" fillId="22" borderId="114" xfId="0" applyFont="1" applyFill="1" applyBorder="1"/>
    <xf numFmtId="0" fontId="54" fillId="22" borderId="58" xfId="0" applyFont="1" applyFill="1" applyBorder="1"/>
    <xf numFmtId="0" fontId="54" fillId="22" borderId="22" xfId="0" applyFont="1" applyFill="1" applyBorder="1"/>
    <xf numFmtId="0" fontId="54" fillId="22" borderId="108" xfId="0" applyFont="1" applyFill="1" applyBorder="1"/>
    <xf numFmtId="0" fontId="54" fillId="22" borderId="84" xfId="0" applyFont="1" applyFill="1" applyBorder="1"/>
    <xf numFmtId="0" fontId="54" fillId="22" borderId="110" xfId="0" applyFont="1" applyFill="1" applyBorder="1"/>
    <xf numFmtId="4" fontId="63" fillId="24" borderId="51" xfId="2" applyNumberFormat="1" applyFont="1" applyFill="1" applyBorder="1" applyAlignment="1">
      <alignment horizontal="right" vertical="top" wrapText="1"/>
    </xf>
    <xf numFmtId="4" fontId="63" fillId="24" borderId="42" xfId="2" applyNumberFormat="1" applyFont="1" applyFill="1" applyBorder="1" applyAlignment="1">
      <alignment horizontal="right" vertical="top" wrapText="1"/>
    </xf>
    <xf numFmtId="4" fontId="63" fillId="24" borderId="52" xfId="2" applyNumberFormat="1" applyFont="1" applyFill="1" applyBorder="1" applyAlignment="1">
      <alignment horizontal="right" vertical="top" wrapText="1"/>
    </xf>
    <xf numFmtId="4" fontId="63" fillId="24" borderId="101" xfId="2" applyNumberFormat="1" applyFont="1" applyFill="1" applyBorder="1" applyAlignment="1">
      <alignment horizontal="right" vertical="top" wrapText="1"/>
    </xf>
    <xf numFmtId="4" fontId="63" fillId="24" borderId="93" xfId="2" applyNumberFormat="1" applyFont="1" applyFill="1" applyBorder="1" applyAlignment="1">
      <alignment horizontal="right" vertical="top" wrapText="1"/>
    </xf>
    <xf numFmtId="4" fontId="63" fillId="24" borderId="104" xfId="2" applyNumberFormat="1" applyFont="1" applyFill="1" applyBorder="1" applyAlignment="1">
      <alignment horizontal="right" vertical="top" wrapText="1"/>
    </xf>
    <xf numFmtId="4" fontId="63" fillId="24" borderId="102" xfId="2" applyNumberFormat="1" applyFont="1" applyFill="1" applyBorder="1" applyAlignment="1">
      <alignment horizontal="right" vertical="top" wrapText="1"/>
    </xf>
    <xf numFmtId="4" fontId="63" fillId="24" borderId="46" xfId="2" applyNumberFormat="1" applyFont="1" applyFill="1" applyBorder="1" applyAlignment="1">
      <alignment horizontal="right" vertical="top" wrapText="1"/>
    </xf>
    <xf numFmtId="4" fontId="63" fillId="24" borderId="45" xfId="2" applyNumberFormat="1" applyFont="1" applyFill="1" applyBorder="1" applyAlignment="1">
      <alignment horizontal="right" vertical="top" wrapText="1"/>
    </xf>
    <xf numFmtId="4" fontId="62" fillId="24" borderId="26" xfId="1" applyNumberFormat="1" applyFont="1" applyFill="1" applyBorder="1" applyAlignment="1">
      <alignment horizontal="right" vertical="top" wrapText="1"/>
    </xf>
    <xf numFmtId="4" fontId="63" fillId="24" borderId="44" xfId="2" applyNumberFormat="1" applyFont="1" applyFill="1" applyBorder="1" applyAlignment="1">
      <alignment horizontal="right" vertical="top" wrapText="1"/>
    </xf>
    <xf numFmtId="4" fontId="63" fillId="24" borderId="103" xfId="2" applyNumberFormat="1" applyFont="1" applyFill="1" applyBorder="1" applyAlignment="1">
      <alignment horizontal="right" vertical="top" wrapText="1"/>
    </xf>
    <xf numFmtId="4" fontId="63" fillId="24" borderId="43" xfId="2" applyNumberFormat="1" applyFont="1" applyFill="1" applyBorder="1" applyAlignment="1">
      <alignment horizontal="right" vertical="top" wrapText="1"/>
    </xf>
    <xf numFmtId="0" fontId="63" fillId="24" borderId="68" xfId="0" applyFont="1" applyFill="1" applyBorder="1" applyAlignment="1">
      <alignment horizontal="left" vertical="top" wrapText="1"/>
    </xf>
    <xf numFmtId="165" fontId="63" fillId="24" borderId="105" xfId="5" applyNumberFormat="1" applyFont="1" applyFill="1" applyBorder="1" applyAlignment="1">
      <alignment horizontal="right" vertical="top" wrapText="1"/>
    </xf>
    <xf numFmtId="165" fontId="63" fillId="24" borderId="106" xfId="5" applyNumberFormat="1" applyFont="1" applyFill="1" applyBorder="1" applyAlignment="1">
      <alignment horizontal="right" vertical="top" wrapText="1"/>
    </xf>
    <xf numFmtId="165" fontId="63" fillId="24" borderId="107" xfId="5" applyNumberFormat="1" applyFont="1" applyFill="1" applyBorder="1" applyAlignment="1">
      <alignment horizontal="right" vertical="top" wrapText="1"/>
    </xf>
    <xf numFmtId="165" fontId="63" fillId="24" borderId="47" xfId="5" applyNumberFormat="1" applyFont="1" applyFill="1" applyBorder="1" applyAlignment="1">
      <alignment horizontal="right" vertical="top" wrapText="1"/>
    </xf>
    <xf numFmtId="165" fontId="63" fillId="24" borderId="48" xfId="5" applyNumberFormat="1" applyFont="1" applyFill="1" applyBorder="1" applyAlignment="1">
      <alignment horizontal="right" vertical="top" wrapText="1"/>
    </xf>
    <xf numFmtId="165" fontId="63" fillId="24" borderId="49" xfId="5" applyNumberFormat="1" applyFont="1" applyFill="1" applyBorder="1" applyAlignment="1">
      <alignment horizontal="right" vertical="top" wrapText="1"/>
    </xf>
    <xf numFmtId="0" fontId="37" fillId="14" borderId="26" xfId="0" applyFont="1" applyFill="1" applyBorder="1"/>
    <xf numFmtId="0" fontId="33" fillId="12" borderId="8" xfId="0" applyFont="1" applyFill="1" applyBorder="1" applyAlignment="1">
      <alignment horizontal="center" vertical="center" wrapText="1"/>
    </xf>
    <xf numFmtId="0" fontId="64" fillId="13" borderId="5" xfId="0" applyFont="1" applyFill="1" applyBorder="1" applyAlignment="1">
      <alignment horizontal="center" vertical="center"/>
    </xf>
    <xf numFmtId="0" fontId="39" fillId="17" borderId="152" xfId="0" applyFont="1" applyFill="1" applyBorder="1" applyAlignment="1">
      <alignment horizontal="center" vertical="center"/>
    </xf>
    <xf numFmtId="0" fontId="39" fillId="17" borderId="153" xfId="0" applyFont="1" applyFill="1" applyBorder="1" applyAlignment="1">
      <alignment horizontal="center" vertical="center"/>
    </xf>
    <xf numFmtId="0" fontId="39" fillId="17" borderId="154" xfId="0" applyFont="1" applyFill="1" applyBorder="1" applyAlignment="1">
      <alignment horizontal="center" vertical="center"/>
    </xf>
    <xf numFmtId="0" fontId="39" fillId="17" borderId="155" xfId="0" applyFont="1" applyFill="1" applyBorder="1" applyAlignment="1">
      <alignment horizontal="center" vertical="center"/>
    </xf>
    <xf numFmtId="0" fontId="39" fillId="17" borderId="156" xfId="0" applyFont="1" applyFill="1" applyBorder="1" applyAlignment="1">
      <alignment horizontal="center" vertical="center"/>
    </xf>
    <xf numFmtId="0" fontId="39" fillId="17" borderId="157" xfId="0" applyFont="1" applyFill="1" applyBorder="1" applyAlignment="1">
      <alignment horizontal="center" vertical="center"/>
    </xf>
    <xf numFmtId="0" fontId="39" fillId="17" borderId="158" xfId="0" applyFont="1" applyFill="1" applyBorder="1" applyAlignment="1">
      <alignment horizontal="center" vertical="center"/>
    </xf>
    <xf numFmtId="0" fontId="39" fillId="17" borderId="159" xfId="0" applyFont="1" applyFill="1" applyBorder="1" applyAlignment="1">
      <alignment horizontal="center" vertical="center"/>
    </xf>
    <xf numFmtId="0" fontId="39" fillId="17" borderId="160" xfId="0" applyFont="1" applyFill="1" applyBorder="1" applyAlignment="1">
      <alignment horizontal="center" vertical="center"/>
    </xf>
    <xf numFmtId="0" fontId="8" fillId="0" borderId="22" xfId="0" applyNumberFormat="1" applyFont="1" applyBorder="1" applyAlignment="1" applyProtection="1">
      <alignment horizontal="center" vertical="center"/>
    </xf>
    <xf numFmtId="0" fontId="8" fillId="0" borderId="87" xfId="0" applyFont="1" applyBorder="1" applyAlignment="1" applyProtection="1">
      <alignment horizontal="center" vertical="center"/>
    </xf>
    <xf numFmtId="165" fontId="60" fillId="0" borderId="117" xfId="5" applyNumberFormat="1" applyFont="1" applyFill="1" applyBorder="1" applyProtection="1"/>
    <xf numFmtId="165" fontId="60" fillId="22" borderId="22" xfId="5" applyNumberFormat="1" applyFont="1" applyFill="1" applyBorder="1" applyProtection="1"/>
    <xf numFmtId="165" fontId="30" fillId="0" borderId="23" xfId="5" applyNumberFormat="1" applyFont="1" applyFill="1" applyBorder="1" applyProtection="1"/>
    <xf numFmtId="0" fontId="33" fillId="12" borderId="0" xfId="0" applyFont="1" applyFill="1" applyBorder="1" applyAlignment="1">
      <alignment vertical="center" wrapText="1"/>
    </xf>
    <xf numFmtId="0" fontId="0" fillId="18" borderId="0" xfId="0" applyFill="1" applyBorder="1" applyAlignment="1" applyProtection="1">
      <alignment horizontal="center" vertical="top" wrapText="1"/>
    </xf>
    <xf numFmtId="0" fontId="0" fillId="18" borderId="6" xfId="0" applyFill="1" applyBorder="1" applyAlignment="1" applyProtection="1">
      <alignment horizontal="center" vertical="top" wrapText="1"/>
    </xf>
    <xf numFmtId="0" fontId="0" fillId="18" borderId="24" xfId="0" applyFill="1" applyBorder="1" applyAlignment="1" applyProtection="1">
      <alignment horizontal="center" vertical="top" wrapText="1"/>
    </xf>
    <xf numFmtId="0" fontId="0" fillId="0" borderId="0" xfId="0" applyBorder="1" applyAlignment="1" applyProtection="1">
      <alignment horizontal="left" vertical="top" wrapText="1"/>
    </xf>
    <xf numFmtId="167" fontId="66" fillId="5" borderId="41" xfId="5" applyNumberFormat="1" applyFont="1" applyFill="1" applyBorder="1" applyAlignment="1" applyProtection="1">
      <alignment horizontal="center" vertical="center" wrapText="1"/>
    </xf>
    <xf numFmtId="167" fontId="67" fillId="5" borderId="41" xfId="5" applyNumberFormat="1" applyFont="1" applyFill="1" applyBorder="1" applyAlignment="1" applyProtection="1">
      <alignment horizontal="center" vertical="center" wrapText="1"/>
    </xf>
    <xf numFmtId="168" fontId="66" fillId="5" borderId="53" xfId="3" applyNumberFormat="1" applyFont="1" applyBorder="1" applyAlignment="1" applyProtection="1">
      <alignment horizontal="center" vertical="center" wrapText="1"/>
    </xf>
    <xf numFmtId="168" fontId="66" fillId="5" borderId="17" xfId="3" applyNumberFormat="1" applyFont="1" applyBorder="1" applyAlignment="1" applyProtection="1">
      <alignment horizontal="center" vertical="center" wrapText="1"/>
    </xf>
    <xf numFmtId="168" fontId="66" fillId="5" borderId="55" xfId="3" applyNumberFormat="1" applyFont="1" applyBorder="1" applyAlignment="1" applyProtection="1">
      <alignment horizontal="center" vertical="center" wrapText="1"/>
    </xf>
    <xf numFmtId="167" fontId="13" fillId="5" borderId="53" xfId="5" applyNumberFormat="1" applyFont="1" applyFill="1" applyBorder="1" applyAlignment="1">
      <alignment horizontal="center" vertical="center" wrapText="1"/>
    </xf>
    <xf numFmtId="167" fontId="53" fillId="20" borderId="53" xfId="5" applyNumberFormat="1" applyFont="1" applyFill="1" applyBorder="1" applyAlignment="1">
      <alignment horizontal="center" vertical="center" wrapText="1"/>
    </xf>
    <xf numFmtId="167" fontId="13" fillId="5" borderId="95" xfId="5" applyNumberFormat="1" applyFont="1" applyFill="1" applyBorder="1" applyAlignment="1">
      <alignment horizontal="center" vertical="center" wrapText="1"/>
    </xf>
    <xf numFmtId="167" fontId="53" fillId="20" borderId="54" xfId="5" applyNumberFormat="1" applyFont="1" applyFill="1" applyBorder="1" applyAlignment="1">
      <alignment horizontal="center" vertical="center" wrapText="1"/>
    </xf>
    <xf numFmtId="44" fontId="72" fillId="17" borderId="150" xfId="7" applyFont="1" applyFill="1" applyBorder="1" applyAlignment="1">
      <alignment horizontal="left" vertical="center"/>
    </xf>
    <xf numFmtId="0" fontId="0" fillId="17" borderId="19" xfId="0" applyFill="1" applyBorder="1" applyAlignment="1" applyProtection="1">
      <alignment horizontal="center" vertical="top" wrapText="1"/>
    </xf>
    <xf numFmtId="0" fontId="0" fillId="17" borderId="0" xfId="0" applyFill="1" applyBorder="1" applyAlignment="1" applyProtection="1">
      <alignment horizontal="center" vertical="top" wrapText="1"/>
    </xf>
    <xf numFmtId="0" fontId="0" fillId="17" borderId="20" xfId="0" applyFill="1" applyBorder="1" applyAlignment="1" applyProtection="1">
      <alignment horizontal="center" vertical="top" wrapText="1"/>
    </xf>
    <xf numFmtId="0" fontId="0" fillId="0" borderId="0" xfId="0" applyBorder="1" applyAlignment="1" applyProtection="1">
      <alignment horizontal="left" vertical="top" wrapText="1"/>
    </xf>
    <xf numFmtId="168" fontId="13" fillId="5" borderId="82" xfId="3" applyNumberFormat="1" applyFont="1" applyBorder="1" applyAlignment="1" applyProtection="1">
      <alignment horizontal="center" vertical="center" wrapText="1"/>
    </xf>
    <xf numFmtId="168" fontId="13" fillId="5" borderId="53" xfId="3" applyNumberFormat="1" applyFont="1" applyBorder="1" applyAlignment="1" applyProtection="1">
      <alignment horizontal="center" vertical="center" wrapText="1"/>
    </xf>
    <xf numFmtId="168" fontId="13" fillId="5" borderId="41" xfId="3" applyNumberFormat="1" applyFont="1" applyBorder="1" applyAlignment="1" applyProtection="1">
      <alignment horizontal="center" vertical="center" wrapText="1"/>
    </xf>
    <xf numFmtId="168" fontId="13" fillId="5" borderId="17" xfId="3" applyNumberFormat="1" applyFont="1" applyBorder="1" applyAlignment="1" applyProtection="1">
      <alignment horizontal="center" vertical="center" wrapText="1"/>
    </xf>
    <xf numFmtId="1" fontId="0" fillId="17" borderId="22" xfId="0" applyNumberFormat="1" applyFill="1" applyBorder="1"/>
    <xf numFmtId="3" fontId="7" fillId="27" borderId="91" xfId="2" applyNumberFormat="1" applyFill="1" applyBorder="1"/>
    <xf numFmtId="3" fontId="7" fillId="27" borderId="36" xfId="2" applyNumberFormat="1" applyFill="1" applyBorder="1"/>
    <xf numFmtId="3" fontId="7" fillId="27" borderId="91" xfId="2" applyNumberFormat="1" applyFill="1" applyBorder="1" applyProtection="1">
      <protection locked="0"/>
    </xf>
    <xf numFmtId="3" fontId="7" fillId="27" borderId="36" xfId="2" applyNumberFormat="1" applyFill="1" applyBorder="1" applyProtection="1">
      <protection locked="0"/>
    </xf>
    <xf numFmtId="1" fontId="0" fillId="17" borderId="58" xfId="0" applyNumberFormat="1" applyFill="1" applyBorder="1"/>
    <xf numFmtId="1" fontId="54" fillId="22" borderId="58" xfId="0" applyNumberFormat="1" applyFont="1" applyFill="1" applyBorder="1"/>
    <xf numFmtId="1" fontId="54" fillId="22" borderId="108" xfId="0" applyNumberFormat="1" applyFont="1" applyFill="1" applyBorder="1"/>
    <xf numFmtId="1" fontId="54" fillId="22" borderId="111" xfId="0" applyNumberFormat="1" applyFont="1" applyFill="1" applyBorder="1"/>
    <xf numFmtId="1" fontId="54" fillId="22" borderId="110" xfId="0" applyNumberFormat="1" applyFont="1" applyFill="1" applyBorder="1"/>
    <xf numFmtId="0" fontId="28" fillId="0" borderId="0" xfId="0" applyFont="1" applyFill="1"/>
    <xf numFmtId="3" fontId="28" fillId="0" borderId="0" xfId="0" applyNumberFormat="1" applyFont="1" applyFill="1"/>
    <xf numFmtId="9" fontId="41" fillId="15" borderId="112" xfId="4" applyFont="1" applyFill="1" applyBorder="1" applyAlignment="1">
      <alignment horizontal="right" vertical="center" wrapText="1"/>
    </xf>
    <xf numFmtId="0" fontId="16" fillId="8" borderId="60" xfId="0" applyFont="1" applyFill="1" applyBorder="1" applyAlignment="1">
      <alignment horizontal="right" vertical="center" wrapText="1"/>
    </xf>
    <xf numFmtId="0" fontId="16" fillId="8" borderId="34" xfId="0" applyFont="1" applyFill="1" applyBorder="1" applyAlignment="1">
      <alignment horizontal="right" vertical="center" wrapText="1"/>
    </xf>
    <xf numFmtId="49" fontId="69" fillId="17" borderId="22" xfId="0" applyNumberFormat="1" applyFont="1" applyFill="1" applyBorder="1" applyAlignment="1">
      <alignment horizontal="center" vertical="center" wrapText="1"/>
    </xf>
    <xf numFmtId="49" fontId="69" fillId="17" borderId="38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wrapText="1"/>
    </xf>
    <xf numFmtId="0" fontId="23" fillId="0" borderId="0" xfId="0" applyFont="1" applyAlignment="1">
      <alignment horizontal="center" wrapText="1"/>
    </xf>
    <xf numFmtId="0" fontId="69" fillId="17" borderId="22" xfId="0" applyFont="1" applyFill="1" applyBorder="1" applyAlignment="1">
      <alignment horizontal="center" vertical="center" wrapText="1"/>
    </xf>
    <xf numFmtId="0" fontId="69" fillId="17" borderId="38" xfId="0" applyFont="1" applyFill="1" applyBorder="1" applyAlignment="1">
      <alignment horizontal="center" vertical="center" wrapText="1"/>
    </xf>
    <xf numFmtId="0" fontId="16" fillId="8" borderId="56" xfId="0" applyFont="1" applyFill="1" applyBorder="1" applyAlignment="1">
      <alignment horizontal="right" vertical="center" wrapText="1"/>
    </xf>
    <xf numFmtId="0" fontId="16" fillId="8" borderId="57" xfId="0" applyFont="1" applyFill="1" applyBorder="1" applyAlignment="1">
      <alignment horizontal="right" vertical="center" wrapText="1"/>
    </xf>
    <xf numFmtId="0" fontId="69" fillId="17" borderId="58" xfId="0" applyFont="1" applyFill="1" applyBorder="1" applyAlignment="1">
      <alignment horizontal="center" vertical="center" wrapText="1"/>
    </xf>
    <xf numFmtId="0" fontId="69" fillId="17" borderId="59" xfId="0" applyFont="1" applyFill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5" borderId="53" xfId="3" applyFont="1" applyBorder="1" applyAlignment="1">
      <alignment horizontal="center" vertical="center" wrapText="1"/>
    </xf>
    <xf numFmtId="0" fontId="19" fillId="5" borderId="55" xfId="3" applyFont="1" applyBorder="1" applyAlignment="1">
      <alignment horizontal="center" vertical="center" wrapText="1"/>
    </xf>
    <xf numFmtId="0" fontId="21" fillId="3" borderId="65" xfId="1" applyFont="1" applyBorder="1" applyAlignment="1">
      <alignment horizontal="center" vertical="center" wrapText="1"/>
    </xf>
    <xf numFmtId="0" fontId="21" fillId="3" borderId="66" xfId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/>
    </xf>
    <xf numFmtId="0" fontId="70" fillId="17" borderId="22" xfId="0" applyFont="1" applyFill="1" applyBorder="1" applyAlignment="1">
      <alignment horizontal="center" vertical="center" wrapText="1"/>
    </xf>
    <xf numFmtId="0" fontId="70" fillId="17" borderId="38" xfId="0" applyFont="1" applyFill="1" applyBorder="1" applyAlignment="1">
      <alignment horizontal="center" vertical="center" wrapText="1"/>
    </xf>
    <xf numFmtId="0" fontId="16" fillId="8" borderId="61" xfId="0" applyFont="1" applyFill="1" applyBorder="1" applyAlignment="1">
      <alignment horizontal="right" vertical="center" wrapText="1"/>
    </xf>
    <xf numFmtId="0" fontId="16" fillId="8" borderId="62" xfId="0" applyFont="1" applyFill="1" applyBorder="1" applyAlignment="1">
      <alignment horizontal="right" vertical="center" wrapText="1"/>
    </xf>
    <xf numFmtId="0" fontId="57" fillId="17" borderId="63" xfId="6" applyFill="1" applyBorder="1" applyAlignment="1">
      <alignment horizontal="center" vertical="center"/>
    </xf>
    <xf numFmtId="0" fontId="71" fillId="17" borderId="63" xfId="0" applyFont="1" applyFill="1" applyBorder="1" applyAlignment="1">
      <alignment horizontal="center" vertical="center"/>
    </xf>
    <xf numFmtId="0" fontId="71" fillId="17" borderId="64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8" fillId="8" borderId="14" xfId="0" applyFont="1" applyFill="1" applyBorder="1" applyAlignment="1">
      <alignment horizontal="center" vertical="center" wrapText="1"/>
    </xf>
    <xf numFmtId="0" fontId="18" fillId="8" borderId="13" xfId="0" applyFont="1" applyFill="1" applyBorder="1" applyAlignment="1">
      <alignment horizontal="center" vertical="center" wrapText="1"/>
    </xf>
    <xf numFmtId="0" fontId="18" fillId="8" borderId="15" xfId="0" applyFont="1" applyFill="1" applyBorder="1" applyAlignment="1">
      <alignment horizontal="center" vertical="center" wrapText="1"/>
    </xf>
    <xf numFmtId="0" fontId="18" fillId="8" borderId="5" xfId="0" applyFont="1" applyFill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20" fillId="4" borderId="52" xfId="2" applyFont="1" applyBorder="1" applyAlignment="1">
      <alignment horizontal="center" vertical="center" wrapText="1"/>
    </xf>
    <xf numFmtId="0" fontId="20" fillId="4" borderId="44" xfId="2" applyFont="1" applyBorder="1" applyAlignment="1">
      <alignment horizontal="center" vertical="center" wrapText="1"/>
    </xf>
    <xf numFmtId="0" fontId="57" fillId="17" borderId="22" xfId="6" applyFill="1" applyBorder="1" applyAlignment="1">
      <alignment horizontal="center" vertical="center" wrapText="1"/>
    </xf>
    <xf numFmtId="0" fontId="31" fillId="19" borderId="21" xfId="0" applyFont="1" applyFill="1" applyBorder="1" applyAlignment="1" applyProtection="1">
      <alignment horizontal="center" vertical="center"/>
    </xf>
    <xf numFmtId="0" fontId="8" fillId="0" borderId="120" xfId="0" applyFont="1" applyBorder="1" applyAlignment="1" applyProtection="1">
      <alignment horizontal="center"/>
    </xf>
    <xf numFmtId="0" fontId="8" fillId="0" borderId="34" xfId="0" applyFont="1" applyBorder="1" applyAlignment="1" applyProtection="1">
      <alignment horizontal="center"/>
    </xf>
    <xf numFmtId="0" fontId="8" fillId="0" borderId="108" xfId="0" applyFont="1" applyBorder="1" applyAlignment="1" applyProtection="1">
      <alignment horizontal="center"/>
    </xf>
    <xf numFmtId="0" fontId="0" fillId="6" borderId="25" xfId="0" applyFill="1" applyBorder="1" applyAlignment="1">
      <alignment horizontal="center" vertical="top" wrapText="1"/>
    </xf>
    <xf numFmtId="0" fontId="0" fillId="6" borderId="5" xfId="0" applyFill="1" applyBorder="1" applyAlignment="1">
      <alignment horizontal="center" vertical="top" wrapText="1"/>
    </xf>
    <xf numFmtId="0" fontId="9" fillId="6" borderId="28" xfId="0" applyFont="1" applyFill="1" applyBorder="1" applyAlignment="1">
      <alignment horizontal="center" vertical="top" wrapText="1"/>
    </xf>
    <xf numFmtId="0" fontId="9" fillId="6" borderId="29" xfId="0" applyFont="1" applyFill="1" applyBorder="1" applyAlignment="1">
      <alignment horizontal="center" vertical="top" wrapText="1"/>
    </xf>
    <xf numFmtId="0" fontId="9" fillId="6" borderId="30" xfId="0" applyFont="1" applyFill="1" applyBorder="1" applyAlignment="1">
      <alignment horizontal="center" vertical="top" wrapText="1"/>
    </xf>
    <xf numFmtId="0" fontId="9" fillId="6" borderId="14" xfId="0" applyFont="1" applyFill="1" applyBorder="1" applyAlignment="1">
      <alignment horizontal="center" vertical="top" wrapText="1"/>
    </xf>
    <xf numFmtId="0" fontId="9" fillId="6" borderId="23" xfId="0" applyFont="1" applyFill="1" applyBorder="1" applyAlignment="1">
      <alignment horizontal="center" vertical="top" wrapText="1"/>
    </xf>
    <xf numFmtId="0" fontId="9" fillId="6" borderId="13" xfId="0" applyFont="1" applyFill="1" applyBorder="1" applyAlignment="1">
      <alignment horizontal="center" vertical="top" wrapText="1"/>
    </xf>
    <xf numFmtId="0" fontId="0" fillId="6" borderId="31" xfId="0" applyFill="1" applyBorder="1" applyAlignment="1">
      <alignment horizontal="center" vertical="top" wrapText="1"/>
    </xf>
    <xf numFmtId="0" fontId="0" fillId="6" borderId="13" xfId="0" applyFill="1" applyBorder="1" applyAlignment="1">
      <alignment horizontal="center" vertical="top" wrapText="1"/>
    </xf>
    <xf numFmtId="0" fontId="8" fillId="19" borderId="120" xfId="0" applyFont="1" applyFill="1" applyBorder="1" applyAlignment="1">
      <alignment horizontal="left" wrapText="1"/>
    </xf>
    <xf numFmtId="0" fontId="8" fillId="19" borderId="34" xfId="0" applyFont="1" applyFill="1" applyBorder="1" applyAlignment="1">
      <alignment horizontal="left" wrapText="1"/>
    </xf>
    <xf numFmtId="0" fontId="8" fillId="19" borderId="108" xfId="0" applyFont="1" applyFill="1" applyBorder="1" applyAlignment="1">
      <alignment horizontal="left" wrapText="1"/>
    </xf>
    <xf numFmtId="0" fontId="8" fillId="19" borderId="84" xfId="0" applyFont="1" applyFill="1" applyBorder="1" applyAlignment="1">
      <alignment horizontal="center" vertical="top" wrapText="1"/>
    </xf>
    <xf numFmtId="0" fontId="8" fillId="19" borderId="121" xfId="0" applyFont="1" applyFill="1" applyBorder="1" applyAlignment="1">
      <alignment horizontal="center" vertical="top" wrapText="1"/>
    </xf>
    <xf numFmtId="0" fontId="8" fillId="19" borderId="109" xfId="0" applyFont="1" applyFill="1" applyBorder="1" applyAlignment="1">
      <alignment horizontal="center" vertical="top" wrapText="1"/>
    </xf>
    <xf numFmtId="0" fontId="8" fillId="10" borderId="120" xfId="0" applyFont="1" applyFill="1" applyBorder="1" applyAlignment="1">
      <alignment horizontal="center" wrapText="1"/>
    </xf>
    <xf numFmtId="0" fontId="8" fillId="10" borderId="108" xfId="0" applyFont="1" applyFill="1" applyBorder="1" applyAlignment="1">
      <alignment horizontal="center" wrapText="1"/>
    </xf>
    <xf numFmtId="0" fontId="8" fillId="10" borderId="120" xfId="0" applyFont="1" applyFill="1" applyBorder="1" applyAlignment="1">
      <alignment horizontal="center" vertical="center" wrapText="1"/>
    </xf>
    <xf numFmtId="0" fontId="8" fillId="10" borderId="108" xfId="0" applyFont="1" applyFill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top" wrapText="1"/>
    </xf>
    <xf numFmtId="0" fontId="9" fillId="6" borderId="0" xfId="0" applyFont="1" applyFill="1" applyBorder="1" applyAlignment="1">
      <alignment horizontal="center" vertical="top" wrapText="1"/>
    </xf>
    <xf numFmtId="0" fontId="9" fillId="6" borderId="20" xfId="0" applyFont="1" applyFill="1" applyBorder="1" applyAlignment="1">
      <alignment horizontal="center" vertical="top" wrapText="1"/>
    </xf>
    <xf numFmtId="0" fontId="9" fillId="6" borderId="19" xfId="0" applyFont="1" applyFill="1" applyBorder="1" applyAlignment="1">
      <alignment horizontal="center" vertical="top" wrapText="1"/>
    </xf>
    <xf numFmtId="0" fontId="9" fillId="6" borderId="6" xfId="0" applyFont="1" applyFill="1" applyBorder="1" applyAlignment="1">
      <alignment horizontal="center" vertical="top" wrapText="1"/>
    </xf>
    <xf numFmtId="0" fontId="9" fillId="6" borderId="18" xfId="0" applyFont="1" applyFill="1" applyBorder="1" applyAlignment="1">
      <alignment horizontal="center" vertical="top" wrapText="1"/>
    </xf>
    <xf numFmtId="0" fontId="9" fillId="6" borderId="61" xfId="0" applyFont="1" applyFill="1" applyBorder="1" applyAlignment="1">
      <alignment horizontal="center" vertical="top" wrapText="1"/>
    </xf>
    <xf numFmtId="0" fontId="9" fillId="6" borderId="161" xfId="0" applyFont="1" applyFill="1" applyBorder="1" applyAlignment="1">
      <alignment horizontal="center" vertical="top" wrapText="1"/>
    </xf>
    <xf numFmtId="0" fontId="9" fillId="6" borderId="162" xfId="0" applyFont="1" applyFill="1" applyBorder="1" applyAlignment="1">
      <alignment horizontal="center" vertical="top" wrapText="1"/>
    </xf>
    <xf numFmtId="0" fontId="0" fillId="18" borderId="19" xfId="0" applyFill="1" applyBorder="1" applyAlignment="1" applyProtection="1">
      <alignment horizontal="center" vertical="top" wrapText="1"/>
    </xf>
    <xf numFmtId="0" fontId="0" fillId="18" borderId="0" xfId="0" applyFill="1" applyBorder="1" applyAlignment="1" applyProtection="1">
      <alignment horizontal="center" vertical="top" wrapText="1"/>
    </xf>
    <xf numFmtId="0" fontId="0" fillId="18" borderId="20" xfId="0" applyFill="1" applyBorder="1" applyAlignment="1" applyProtection="1">
      <alignment horizontal="center" vertical="top" wrapText="1"/>
    </xf>
    <xf numFmtId="0" fontId="0" fillId="17" borderId="24" xfId="0" applyFill="1" applyBorder="1" applyAlignment="1">
      <alignment horizontal="center" vertical="top" wrapText="1"/>
    </xf>
    <xf numFmtId="0" fontId="0" fillId="17" borderId="0" xfId="0" applyFill="1" applyBorder="1" applyAlignment="1">
      <alignment horizontal="center" vertical="top" wrapText="1"/>
    </xf>
    <xf numFmtId="0" fontId="0" fillId="17" borderId="6" xfId="0" applyFill="1" applyBorder="1" applyAlignment="1">
      <alignment horizontal="center" vertical="top" wrapText="1"/>
    </xf>
    <xf numFmtId="0" fontId="0" fillId="17" borderId="19" xfId="0" applyFill="1" applyBorder="1" applyAlignment="1" applyProtection="1">
      <alignment horizontal="center" vertical="top" wrapText="1"/>
    </xf>
    <xf numFmtId="0" fontId="0" fillId="17" borderId="0" xfId="0" applyFill="1" applyBorder="1" applyAlignment="1" applyProtection="1">
      <alignment horizontal="center" vertical="top" wrapText="1"/>
    </xf>
    <xf numFmtId="0" fontId="0" fillId="17" borderId="20" xfId="0" applyFill="1" applyBorder="1" applyAlignment="1" applyProtection="1">
      <alignment horizontal="center" vertical="top" wrapText="1"/>
    </xf>
    <xf numFmtId="0" fontId="8" fillId="7" borderId="24" xfId="0" applyFont="1" applyFill="1" applyBorder="1" applyAlignment="1" applyProtection="1">
      <alignment horizontal="left" vertical="top" wrapText="1"/>
    </xf>
    <xf numFmtId="0" fontId="8" fillId="7" borderId="15" xfId="0" applyFont="1" applyFill="1" applyBorder="1" applyAlignment="1" applyProtection="1">
      <alignment horizontal="left" vertical="top" wrapText="1"/>
    </xf>
    <xf numFmtId="0" fontId="0" fillId="7" borderId="0" xfId="0" applyFill="1" applyBorder="1" applyAlignment="1" applyProtection="1">
      <alignment horizontal="left" vertical="top" wrapText="1"/>
    </xf>
    <xf numFmtId="0" fontId="0" fillId="7" borderId="26" xfId="0" applyFill="1" applyBorder="1" applyAlignment="1" applyProtection="1">
      <alignment horizontal="left" vertical="top" wrapText="1"/>
    </xf>
    <xf numFmtId="0" fontId="8" fillId="7" borderId="14" xfId="0" applyFont="1" applyFill="1" applyBorder="1" applyAlignment="1" applyProtection="1">
      <alignment horizontal="left" vertical="top" wrapText="1"/>
    </xf>
    <xf numFmtId="0" fontId="0" fillId="7" borderId="23" xfId="0" applyFill="1" applyBorder="1" applyAlignment="1" applyProtection="1">
      <alignment horizontal="left" vertical="top" wrapText="1"/>
    </xf>
    <xf numFmtId="0" fontId="8" fillId="0" borderId="14" xfId="0" applyFont="1" applyBorder="1" applyAlignment="1" applyProtection="1">
      <alignment horizontal="left" vertical="top" wrapText="1"/>
    </xf>
    <xf numFmtId="0" fontId="8" fillId="0" borderId="24" xfId="0" applyFont="1" applyBorder="1" applyAlignment="1" applyProtection="1">
      <alignment horizontal="left" vertical="top" wrapText="1"/>
    </xf>
    <xf numFmtId="0" fontId="8" fillId="0" borderId="15" xfId="0" applyFont="1" applyBorder="1" applyAlignment="1" applyProtection="1">
      <alignment horizontal="left" vertical="top" wrapText="1"/>
    </xf>
    <xf numFmtId="0" fontId="0" fillId="0" borderId="23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26" xfId="0" applyBorder="1" applyAlignment="1" applyProtection="1">
      <alignment horizontal="left" vertical="top" wrapText="1"/>
    </xf>
    <xf numFmtId="0" fontId="0" fillId="17" borderId="19" xfId="0" applyFill="1" applyBorder="1" applyAlignment="1">
      <alignment horizontal="center" vertical="top" wrapText="1"/>
    </xf>
    <xf numFmtId="0" fontId="0" fillId="18" borderId="14" xfId="0" applyFill="1" applyBorder="1" applyAlignment="1" applyProtection="1">
      <alignment horizontal="center" vertical="top" wrapText="1"/>
    </xf>
    <xf numFmtId="0" fontId="0" fillId="18" borderId="23" xfId="0" applyFill="1" applyBorder="1" applyAlignment="1" applyProtection="1">
      <alignment horizontal="center" vertical="top" wrapText="1"/>
    </xf>
    <xf numFmtId="0" fontId="0" fillId="18" borderId="13" xfId="0" applyFill="1" applyBorder="1" applyAlignment="1" applyProtection="1">
      <alignment horizontal="center" vertical="top" wrapText="1"/>
    </xf>
    <xf numFmtId="0" fontId="0" fillId="17" borderId="0" xfId="0" applyFill="1" applyAlignment="1">
      <alignment horizontal="center" vertical="top" wrapText="1"/>
    </xf>
    <xf numFmtId="0" fontId="0" fillId="17" borderId="20" xfId="0" applyFill="1" applyBorder="1" applyAlignment="1">
      <alignment horizontal="center" vertical="top" wrapText="1"/>
    </xf>
    <xf numFmtId="0" fontId="28" fillId="0" borderId="0" xfId="0" applyFont="1" applyBorder="1" applyAlignment="1">
      <alignment horizontal="center"/>
    </xf>
    <xf numFmtId="0" fontId="31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5" fillId="0" borderId="26" xfId="0" applyFont="1" applyBorder="1" applyAlignment="1">
      <alignment horizontal="left"/>
    </xf>
    <xf numFmtId="0" fontId="25" fillId="0" borderId="27" xfId="0" applyFont="1" applyBorder="1" applyAlignment="1">
      <alignment horizontal="left"/>
    </xf>
    <xf numFmtId="0" fontId="24" fillId="11" borderId="28" xfId="0" applyFont="1" applyFill="1" applyBorder="1" applyAlignment="1">
      <alignment horizontal="left"/>
    </xf>
    <xf numFmtId="0" fontId="24" fillId="11" borderId="29" xfId="0" applyFont="1" applyFill="1" applyBorder="1" applyAlignment="1">
      <alignment horizontal="left"/>
    </xf>
    <xf numFmtId="0" fontId="24" fillId="11" borderId="0" xfId="0" applyFont="1" applyFill="1" applyAlignment="1">
      <alignment horizontal="left"/>
    </xf>
    <xf numFmtId="0" fontId="24" fillId="10" borderId="28" xfId="0" applyFont="1" applyFill="1" applyBorder="1" applyAlignment="1">
      <alignment horizontal="left"/>
    </xf>
    <xf numFmtId="0" fontId="24" fillId="10" borderId="29" xfId="0" applyFont="1" applyFill="1" applyBorder="1" applyAlignment="1">
      <alignment horizontal="left"/>
    </xf>
    <xf numFmtId="0" fontId="24" fillId="10" borderId="0" xfId="0" applyFont="1" applyFill="1" applyAlignment="1">
      <alignment horizontal="left"/>
    </xf>
    <xf numFmtId="0" fontId="33" fillId="12" borderId="28" xfId="0" applyFont="1" applyFill="1" applyBorder="1" applyAlignment="1">
      <alignment horizontal="center" vertical="center" wrapText="1"/>
    </xf>
    <xf numFmtId="0" fontId="33" fillId="12" borderId="29" xfId="0" applyFont="1" applyFill="1" applyBorder="1" applyAlignment="1">
      <alignment horizontal="center" vertical="center" wrapText="1"/>
    </xf>
    <xf numFmtId="0" fontId="33" fillId="12" borderId="30" xfId="0" applyFont="1" applyFill="1" applyBorder="1" applyAlignment="1">
      <alignment horizontal="center" vertical="center" wrapText="1"/>
    </xf>
    <xf numFmtId="0" fontId="33" fillId="12" borderId="8" xfId="0" applyFont="1" applyFill="1" applyBorder="1" applyAlignment="1">
      <alignment horizontal="center" vertical="center" wrapText="1"/>
    </xf>
    <xf numFmtId="0" fontId="33" fillId="12" borderId="78" xfId="0" applyFont="1" applyFill="1" applyBorder="1" applyAlignment="1">
      <alignment horizontal="center" vertical="center" wrapText="1"/>
    </xf>
    <xf numFmtId="0" fontId="33" fillId="12" borderId="9" xfId="0" applyFont="1" applyFill="1" applyBorder="1" applyAlignment="1">
      <alignment horizontal="center" vertical="center" wrapText="1"/>
    </xf>
    <xf numFmtId="0" fontId="56" fillId="12" borderId="8" xfId="0" applyFont="1" applyFill="1" applyBorder="1" applyAlignment="1">
      <alignment horizontal="center" vertical="center" wrapText="1"/>
    </xf>
    <xf numFmtId="0" fontId="56" fillId="12" borderId="9" xfId="0" applyFont="1" applyFill="1" applyBorder="1" applyAlignment="1">
      <alignment horizontal="center" vertical="center" wrapText="1"/>
    </xf>
    <xf numFmtId="0" fontId="50" fillId="0" borderId="26" xfId="0" applyFont="1" applyBorder="1" applyAlignment="1">
      <alignment horizontal="center" vertical="center"/>
    </xf>
    <xf numFmtId="0" fontId="33" fillId="12" borderId="14" xfId="0" applyFont="1" applyFill="1" applyBorder="1" applyAlignment="1">
      <alignment horizontal="center" vertical="center" wrapText="1"/>
    </xf>
    <xf numFmtId="0" fontId="33" fillId="12" borderId="23" xfId="0" applyFont="1" applyFill="1" applyBorder="1" applyAlignment="1">
      <alignment horizontal="center" vertical="center" wrapText="1"/>
    </xf>
    <xf numFmtId="0" fontId="33" fillId="12" borderId="13" xfId="0" applyFont="1" applyFill="1" applyBorder="1" applyAlignment="1">
      <alignment horizontal="center" vertical="center" wrapText="1"/>
    </xf>
    <xf numFmtId="0" fontId="1" fillId="26" borderId="8" xfId="0" applyFont="1" applyFill="1" applyBorder="1" applyAlignment="1">
      <alignment horizontal="center" vertical="top"/>
    </xf>
    <xf numFmtId="0" fontId="1" fillId="26" borderId="78" xfId="0" applyFont="1" applyFill="1" applyBorder="1" applyAlignment="1">
      <alignment horizontal="center" vertical="top"/>
    </xf>
    <xf numFmtId="0" fontId="5" fillId="26" borderId="8" xfId="0" applyFont="1" applyFill="1" applyBorder="1" applyAlignment="1">
      <alignment horizontal="left" vertical="top" wrapText="1"/>
    </xf>
    <xf numFmtId="0" fontId="5" fillId="26" borderId="78" xfId="0" applyFont="1" applyFill="1" applyBorder="1" applyAlignment="1">
      <alignment horizontal="left" vertical="top" wrapText="1"/>
    </xf>
    <xf numFmtId="0" fontId="1" fillId="26" borderId="8" xfId="0" applyFont="1" applyFill="1" applyBorder="1" applyAlignment="1">
      <alignment vertical="top" wrapText="1"/>
    </xf>
    <xf numFmtId="0" fontId="1" fillId="26" borderId="78" xfId="0" applyFont="1" applyFill="1" applyBorder="1" applyAlignment="1">
      <alignment vertical="top" wrapText="1"/>
    </xf>
    <xf numFmtId="2" fontId="3" fillId="5" borderId="89" xfId="3" applyNumberFormat="1" applyFont="1" applyBorder="1" applyAlignment="1">
      <alignment horizontal="right" vertical="top" wrapText="1"/>
    </xf>
    <xf numFmtId="2" fontId="3" fillId="5" borderId="90" xfId="3" applyNumberFormat="1" applyFont="1" applyBorder="1" applyAlignment="1">
      <alignment horizontal="right" vertical="top" wrapText="1"/>
    </xf>
    <xf numFmtId="0" fontId="5" fillId="26" borderId="7" xfId="0" applyFont="1" applyFill="1" applyBorder="1" applyAlignment="1">
      <alignment horizontal="left" vertical="top" wrapText="1"/>
    </xf>
    <xf numFmtId="0" fontId="5" fillId="26" borderId="4" xfId="0" applyFont="1" applyFill="1" applyBorder="1" applyAlignment="1">
      <alignment horizontal="left" vertical="top" wrapText="1"/>
    </xf>
    <xf numFmtId="166" fontId="47" fillId="3" borderId="8" xfId="4" applyNumberFormat="1" applyFont="1" applyFill="1" applyBorder="1" applyAlignment="1">
      <alignment horizontal="right" vertical="top" wrapText="1"/>
    </xf>
    <xf numFmtId="166" fontId="47" fillId="3" borderId="9" xfId="4" applyNumberFormat="1" applyFont="1" applyFill="1" applyBorder="1" applyAlignment="1">
      <alignment horizontal="right" vertical="top" wrapText="1"/>
    </xf>
    <xf numFmtId="166" fontId="47" fillId="3" borderId="8" xfId="4" applyNumberFormat="1" applyFont="1" applyFill="1" applyBorder="1" applyAlignment="1">
      <alignment vertical="top" wrapText="1"/>
    </xf>
    <xf numFmtId="166" fontId="47" fillId="3" borderId="9" xfId="4" applyNumberFormat="1" applyFont="1" applyFill="1" applyBorder="1" applyAlignment="1">
      <alignment vertical="top" wrapText="1"/>
    </xf>
    <xf numFmtId="0" fontId="5" fillId="26" borderId="14" xfId="0" applyFont="1" applyFill="1" applyBorder="1" applyAlignment="1">
      <alignment horizontal="left" vertical="top" wrapText="1"/>
    </xf>
    <xf numFmtId="0" fontId="5" fillId="26" borderId="15" xfId="0" applyFont="1" applyFill="1" applyBorder="1" applyAlignment="1">
      <alignment horizontal="left" vertical="top" wrapText="1"/>
    </xf>
    <xf numFmtId="2" fontId="47" fillId="3" borderId="8" xfId="4" applyNumberFormat="1" applyFont="1" applyFill="1" applyBorder="1" applyAlignment="1">
      <alignment vertical="top" wrapText="1"/>
    </xf>
    <xf numFmtId="2" fontId="47" fillId="3" borderId="9" xfId="4" applyNumberFormat="1" applyFont="1" applyFill="1" applyBorder="1" applyAlignment="1">
      <alignment vertical="top" wrapText="1"/>
    </xf>
    <xf numFmtId="0" fontId="1" fillId="26" borderId="9" xfId="0" applyFont="1" applyFill="1" applyBorder="1" applyAlignment="1">
      <alignment vertical="top" wrapText="1"/>
    </xf>
    <xf numFmtId="0" fontId="5" fillId="26" borderId="11" xfId="0" applyFont="1" applyFill="1" applyBorder="1" applyAlignment="1">
      <alignment horizontal="left" vertical="top" wrapText="1"/>
    </xf>
    <xf numFmtId="0" fontId="5" fillId="26" borderId="12" xfId="0" applyFont="1" applyFill="1" applyBorder="1" applyAlignment="1">
      <alignment horizontal="left" vertical="top" wrapText="1"/>
    </xf>
    <xf numFmtId="0" fontId="5" fillId="26" borderId="8" xfId="0" applyFont="1" applyFill="1" applyBorder="1" applyAlignment="1">
      <alignment horizontal="center" vertical="top" wrapText="1"/>
    </xf>
    <xf numFmtId="0" fontId="5" fillId="26" borderId="9" xfId="0" applyFont="1" applyFill="1" applyBorder="1" applyAlignment="1">
      <alignment horizontal="center" vertical="top" wrapText="1"/>
    </xf>
    <xf numFmtId="0" fontId="1" fillId="26" borderId="13" xfId="0" applyFont="1" applyFill="1" applyBorder="1" applyAlignment="1">
      <alignment horizontal="center" vertical="top"/>
    </xf>
    <xf numFmtId="0" fontId="1" fillId="26" borderId="5" xfId="0" applyFont="1" applyFill="1" applyBorder="1" applyAlignment="1">
      <alignment horizontal="center" vertical="top"/>
    </xf>
    <xf numFmtId="0" fontId="61" fillId="22" borderId="14" xfId="0" applyFont="1" applyFill="1" applyBorder="1" applyAlignment="1">
      <alignment horizontal="center"/>
    </xf>
    <xf numFmtId="0" fontId="61" fillId="22" borderId="23" xfId="0" applyFont="1" applyFill="1" applyBorder="1" applyAlignment="1">
      <alignment horizontal="center"/>
    </xf>
    <xf numFmtId="0" fontId="8" fillId="0" borderId="1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23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8" fillId="0" borderId="14" xfId="0" applyFont="1" applyBorder="1" applyAlignment="1">
      <alignment horizontal="center" vertical="top" wrapText="1"/>
    </xf>
    <xf numFmtId="0" fontId="8" fillId="0" borderId="24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/>
    </xf>
  </cellXfs>
  <cellStyles count="12">
    <cellStyle name="Čiarka" xfId="5" builtinId="3"/>
    <cellStyle name="Dobrá" xfId="1" builtinId="26"/>
    <cellStyle name="Hypertextové prepojenie" xfId="6" builtinId="8"/>
    <cellStyle name="Mena" xfId="7" builtinId="4"/>
    <cellStyle name="Normálna" xfId="0" builtinId="0"/>
    <cellStyle name="Percentá" xfId="4" builtinId="5"/>
    <cellStyle name="Použité hypertextové prepojenie" xfId="8" builtinId="9" hidden="1"/>
    <cellStyle name="Použité hypertextové prepojenie" xfId="9" builtinId="9" hidden="1"/>
    <cellStyle name="Použité hypertextové prepojenie" xfId="10" builtinId="9" hidden="1"/>
    <cellStyle name="Použité hypertextové prepojenie" xfId="11" builtinId="9" hidden="1"/>
    <cellStyle name="Poznámka" xfId="3" builtinId="10"/>
    <cellStyle name="Výpočet" xfId="2" builtinId="22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14</xdr:col>
      <xdr:colOff>333375</xdr:colOff>
      <xdr:row>33</xdr:row>
      <xdr:rowOff>133350</xdr:rowOff>
    </xdr:to>
    <xdr:pic>
      <xdr:nvPicPr>
        <xdr:cNvPr id="4" name="Obrázok 10">
          <a:extLst>
            <a:ext uri="{FF2B5EF4-FFF2-40B4-BE49-F238E27FC236}">
              <a16:creationId xmlns:a16="http://schemas.microsoft.com/office/drawing/2014/main" id="{BAE926C3-F1BE-4AF5-8396-65A6DD4AE4DD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762000"/>
          <a:ext cx="8601075" cy="565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76200</xdr:colOff>
      <xdr:row>4</xdr:row>
      <xdr:rowOff>0</xdr:rowOff>
    </xdr:from>
    <xdr:to>
      <xdr:col>33</xdr:col>
      <xdr:colOff>409576</xdr:colOff>
      <xdr:row>33</xdr:row>
      <xdr:rowOff>133350</xdr:rowOff>
    </xdr:to>
    <xdr:pic>
      <xdr:nvPicPr>
        <xdr:cNvPr id="6" name="Obrázok 10">
          <a:extLst>
            <a:ext uri="{FF2B5EF4-FFF2-40B4-BE49-F238E27FC236}">
              <a16:creationId xmlns:a16="http://schemas.microsoft.com/office/drawing/2014/main" id="{D27BA237-A948-4354-907E-5EE9BDBD8E3D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1296650" y="762000"/>
          <a:ext cx="8601076" cy="565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PA\SU\Manazmanet%20udajov\Priloha_23_vyzvy_Datova%20struktura%20projektu%20PPA_v1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UVOD"/>
      <sheetName val="Registre_Evidencie"/>
      <sheetName val="Informačné systémy"/>
      <sheetName val="Objekty evidencie"/>
      <sheetName val="Konzumované údaje"/>
      <sheetName val="Licencie"/>
      <sheetName val="INTEGRACIE"/>
      <sheetName val="Rozpočet_Vecny"/>
      <sheetName val="Rozpocet_Detailny"/>
      <sheetName val="Ciselniky"/>
      <sheetName val="Data_USEKY&amp;AGENDY"/>
      <sheetName val="PIVOT_USEKY&amp;AGENDY"/>
      <sheetName val="PIVOT_Zitovne situacie"/>
      <sheetName val="Zivotne_Situaci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H2" t="str">
            <v>Analýza a dizajn</v>
          </cell>
        </row>
        <row r="3">
          <cell r="B3" t="str">
            <v>Pozície pre nepriame výdavky (podporné aktivity)</v>
          </cell>
          <cell r="H3" t="str">
            <v>Nákup HW a krabicového softvéru</v>
          </cell>
        </row>
        <row r="4">
          <cell r="B4" t="str">
            <v>Projektový manažér</v>
          </cell>
          <cell r="H4" t="str">
            <v>Implementácia</v>
          </cell>
        </row>
        <row r="5">
          <cell r="B5" t="str">
            <v>Finančný manažér</v>
          </cell>
          <cell r="H5" t="str">
            <v>Testovanie</v>
          </cell>
        </row>
        <row r="6">
          <cell r="B6" t="str">
            <v>Administratívny pracovník</v>
          </cell>
          <cell r="H6" t="str">
            <v>Nasadenie</v>
          </cell>
        </row>
        <row r="7">
          <cell r="B7" t="str">
            <v>Špecialista na publicitu</v>
          </cell>
          <cell r="H7" t="str">
            <v>Riadenie projektu</v>
          </cell>
        </row>
        <row r="8">
          <cell r="B8" t="str">
            <v>Spracovateľ štúdiie</v>
          </cell>
          <cell r="H8" t="str">
            <v>Publicita</v>
          </cell>
        </row>
        <row r="9">
          <cell r="B9" t="str">
            <v>Pozície pre priame výdavky (hlavné aktivity)</v>
          </cell>
        </row>
        <row r="10">
          <cell r="B10" t="str">
            <v>Projektový manažér IT projektu</v>
          </cell>
        </row>
        <row r="11">
          <cell r="B11" t="str">
            <v>IT analytik</v>
          </cell>
        </row>
        <row r="12">
          <cell r="B12" t="str">
            <v>IT programátor/vývojár</v>
          </cell>
        </row>
        <row r="13">
          <cell r="B13" t="str">
            <v>IT architekt</v>
          </cell>
        </row>
        <row r="14">
          <cell r="B14" t="str">
            <v>IT tester</v>
          </cell>
        </row>
        <row r="15">
          <cell r="B15" t="str">
            <v>Špecialista pre databázy</v>
          </cell>
        </row>
        <row r="16">
          <cell r="B16" t="str">
            <v>IT / IS konzultant (napr. SAP)</v>
          </cell>
        </row>
        <row r="17">
          <cell r="B17" t="str">
            <v>Špecialista pre infraštruktúry/HW špecialista</v>
          </cell>
        </row>
        <row r="18">
          <cell r="B18" t="str">
            <v>Školiteľ pre IT systémy</v>
          </cell>
        </row>
        <row r="19">
          <cell r="B19" t="str">
            <v>Iné (pozícia, ktorú nie je možné zaradiť do vyššie uvedených pozícií)</v>
          </cell>
        </row>
        <row r="20">
          <cell r="B20" t="str">
            <v>Odborník pre IT dohľad/ Quality Assurance</v>
          </cell>
        </row>
        <row r="21">
          <cell r="B21" t="str">
            <v>Špecialista pre bezpečnosť IT</v>
          </cell>
        </row>
        <row r="22">
          <cell r="B22" t="str">
            <v>Dátový analytik - IT senior</v>
          </cell>
        </row>
        <row r="23">
          <cell r="B23" t="str">
            <v>Dátový špecialista - IT senior</v>
          </cell>
        </row>
        <row r="24">
          <cell r="B24" t="str">
            <v>Dátový špecialista - IT junior</v>
          </cell>
        </row>
        <row r="25">
          <cell r="B25" t="str">
            <v>Dátový kurátor - IT senior</v>
          </cell>
        </row>
        <row r="26">
          <cell r="B26" t="str">
            <v>Dátový architekt - IT senior</v>
          </cell>
        </row>
        <row r="27">
          <cell r="B27" t="str">
            <v>Vlastník údajov - IT senior</v>
          </cell>
        </row>
      </sheetData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pa.sk/" TargetMode="External"/><Relationship Id="rId1" Type="http://schemas.openxmlformats.org/officeDocument/2006/relationships/hyperlink" Target="mailto:peter.lukac@apa.s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R46"/>
  <sheetViews>
    <sheetView view="pageBreakPreview" topLeftCell="A10" zoomScale="120" zoomScaleSheetLayoutView="120" workbookViewId="0">
      <selection activeCell="C19" sqref="C19:I19"/>
    </sheetView>
  </sheetViews>
  <sheetFormatPr defaultColWidth="8.85546875" defaultRowHeight="15" x14ac:dyDescent="0.25"/>
  <cols>
    <col min="2" max="2" width="11.7109375" customWidth="1"/>
    <col min="4" max="4" width="6.42578125" customWidth="1"/>
    <col min="6" max="6" width="7.7109375" customWidth="1"/>
    <col min="7" max="7" width="12.28515625" customWidth="1"/>
    <col min="8" max="8" width="6" customWidth="1"/>
    <col min="9" max="9" width="14.28515625" customWidth="1"/>
  </cols>
  <sheetData>
    <row r="1" spans="1:18" x14ac:dyDescent="0.25">
      <c r="A1" s="36"/>
      <c r="B1" s="36"/>
      <c r="C1" s="36"/>
      <c r="D1" s="36"/>
      <c r="E1" s="36"/>
      <c r="F1" s="36"/>
      <c r="G1" s="36"/>
      <c r="H1" s="36"/>
      <c r="I1" s="36"/>
      <c r="J1" s="344"/>
      <c r="K1" s="345"/>
      <c r="L1" s="345"/>
      <c r="M1" s="345"/>
      <c r="N1" s="345"/>
      <c r="O1" s="345"/>
      <c r="P1" s="345"/>
      <c r="Q1" s="345"/>
      <c r="R1" s="345"/>
    </row>
    <row r="2" spans="1:18" x14ac:dyDescent="0.25">
      <c r="A2" s="36"/>
      <c r="B2" s="36"/>
      <c r="C2" s="36"/>
      <c r="D2" s="36"/>
      <c r="E2" s="36"/>
      <c r="F2" s="36"/>
      <c r="G2" s="36"/>
      <c r="H2" s="36"/>
      <c r="I2" s="36"/>
      <c r="J2" s="345"/>
      <c r="K2" s="345"/>
      <c r="L2" s="345"/>
      <c r="M2" s="345"/>
      <c r="N2" s="345"/>
      <c r="O2" s="345"/>
      <c r="P2" s="345"/>
      <c r="Q2" s="345"/>
      <c r="R2" s="345"/>
    </row>
    <row r="3" spans="1:18" ht="15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45"/>
      <c r="K3" s="345"/>
      <c r="L3" s="345"/>
      <c r="M3" s="345"/>
      <c r="N3" s="345"/>
      <c r="O3" s="345"/>
      <c r="P3" s="345"/>
      <c r="Q3" s="345"/>
      <c r="R3" s="345"/>
    </row>
    <row r="4" spans="1:18" ht="15" customHeight="1" x14ac:dyDescent="0.25">
      <c r="A4" s="36"/>
      <c r="B4" s="36"/>
      <c r="C4" s="36"/>
      <c r="D4" s="36"/>
      <c r="E4" s="36"/>
      <c r="F4" s="36"/>
      <c r="G4" s="36"/>
      <c r="H4" s="36"/>
      <c r="I4" s="36"/>
      <c r="J4" s="345"/>
      <c r="K4" s="345"/>
      <c r="L4" s="345"/>
      <c r="M4" s="345"/>
      <c r="N4" s="345"/>
      <c r="O4" s="345"/>
      <c r="P4" s="345"/>
      <c r="Q4" s="345"/>
      <c r="R4" s="345"/>
    </row>
    <row r="5" spans="1:18" x14ac:dyDescent="0.25">
      <c r="A5" s="36"/>
      <c r="B5" s="36"/>
      <c r="C5" s="36"/>
      <c r="D5" s="36"/>
      <c r="E5" s="36"/>
      <c r="F5" s="36"/>
      <c r="G5" s="36"/>
      <c r="H5" s="36"/>
      <c r="I5" s="36"/>
      <c r="J5" s="345"/>
      <c r="K5" s="345"/>
      <c r="L5" s="345"/>
      <c r="M5" s="345"/>
      <c r="N5" s="345"/>
      <c r="O5" s="345"/>
      <c r="P5" s="345"/>
      <c r="Q5" s="345"/>
      <c r="R5" s="345"/>
    </row>
    <row r="6" spans="1:18" ht="62.1" customHeight="1" x14ac:dyDescent="0.5">
      <c r="A6" s="608" t="s">
        <v>113</v>
      </c>
      <c r="B6" s="608"/>
      <c r="C6" s="608"/>
      <c r="D6" s="608"/>
      <c r="E6" s="608"/>
      <c r="F6" s="608"/>
      <c r="G6" s="608"/>
      <c r="H6" s="608"/>
      <c r="I6" s="608"/>
      <c r="J6" s="345"/>
      <c r="K6" s="345"/>
      <c r="L6" s="345"/>
      <c r="M6" s="345"/>
      <c r="N6" s="345"/>
      <c r="O6" s="345"/>
      <c r="P6" s="345"/>
      <c r="Q6" s="345"/>
      <c r="R6" s="345"/>
    </row>
    <row r="7" spans="1:18" ht="18.75" customHeight="1" x14ac:dyDescent="0.3">
      <c r="A7" s="622" t="s">
        <v>65</v>
      </c>
      <c r="B7" s="622"/>
      <c r="C7" s="622"/>
      <c r="D7" s="622"/>
      <c r="E7" s="622"/>
      <c r="F7" s="622"/>
      <c r="G7" s="622"/>
      <c r="H7" s="622"/>
      <c r="I7" s="622"/>
      <c r="J7" s="345"/>
      <c r="K7" s="345"/>
      <c r="L7" s="345"/>
      <c r="M7" s="345"/>
      <c r="N7" s="345"/>
      <c r="O7" s="345"/>
      <c r="P7" s="345"/>
      <c r="Q7" s="345"/>
      <c r="R7" s="345"/>
    </row>
    <row r="8" spans="1:18" x14ac:dyDescent="0.25">
      <c r="A8" s="609" t="s">
        <v>60</v>
      </c>
      <c r="B8" s="609"/>
      <c r="C8" s="609"/>
      <c r="D8" s="609"/>
      <c r="E8" s="609"/>
      <c r="F8" s="609"/>
      <c r="G8" s="609"/>
      <c r="H8" s="609"/>
      <c r="I8" s="609"/>
      <c r="J8" s="345"/>
      <c r="K8" s="345"/>
      <c r="L8" s="345"/>
      <c r="M8" s="345"/>
      <c r="N8" s="345"/>
      <c r="O8" s="345"/>
      <c r="P8" s="345"/>
      <c r="Q8" s="345"/>
      <c r="R8" s="345"/>
    </row>
    <row r="9" spans="1:18" ht="15" customHeight="1" x14ac:dyDescent="0.25">
      <c r="A9" s="609"/>
      <c r="B9" s="609"/>
      <c r="C9" s="609"/>
      <c r="D9" s="609"/>
      <c r="E9" s="609"/>
      <c r="F9" s="609"/>
      <c r="G9" s="609"/>
      <c r="H9" s="609"/>
      <c r="I9" s="609"/>
      <c r="J9" s="345"/>
      <c r="K9" s="345"/>
      <c r="L9" s="345"/>
      <c r="M9" s="345"/>
      <c r="N9" s="345"/>
      <c r="O9" s="345"/>
      <c r="P9" s="345"/>
      <c r="Q9" s="345"/>
      <c r="R9" s="345"/>
    </row>
    <row r="10" spans="1:18" ht="48.6" customHeight="1" x14ac:dyDescent="0.25">
      <c r="A10" s="609"/>
      <c r="B10" s="609"/>
      <c r="C10" s="609"/>
      <c r="D10" s="609"/>
      <c r="E10" s="609"/>
      <c r="F10" s="609"/>
      <c r="G10" s="609"/>
      <c r="H10" s="609"/>
      <c r="I10" s="609"/>
      <c r="J10" s="345"/>
      <c r="K10" s="345"/>
      <c r="L10" s="345"/>
      <c r="M10" s="345"/>
      <c r="N10" s="345"/>
      <c r="O10" s="345"/>
      <c r="P10" s="345"/>
      <c r="Q10" s="345"/>
      <c r="R10" s="345"/>
    </row>
    <row r="11" spans="1:18" ht="15" customHeight="1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45"/>
      <c r="K11" s="345"/>
      <c r="L11" s="345"/>
      <c r="M11" s="345"/>
      <c r="N11" s="345"/>
      <c r="O11" s="345"/>
      <c r="P11" s="345"/>
      <c r="Q11" s="345"/>
      <c r="R11" s="345"/>
    </row>
    <row r="12" spans="1:18" x14ac:dyDescent="0.25">
      <c r="A12" s="36"/>
      <c r="B12" s="36"/>
      <c r="C12" s="36"/>
      <c r="D12" s="36"/>
      <c r="E12" s="36"/>
      <c r="F12" s="36"/>
      <c r="G12" s="36"/>
      <c r="H12" s="36"/>
      <c r="I12" s="36"/>
      <c r="J12" s="345"/>
      <c r="K12" s="345"/>
      <c r="L12" s="345"/>
      <c r="M12" s="345"/>
      <c r="N12" s="345"/>
      <c r="O12" s="345"/>
      <c r="P12" s="345"/>
      <c r="Q12" s="345"/>
      <c r="R12" s="345"/>
    </row>
    <row r="13" spans="1:18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45"/>
      <c r="K13" s="345"/>
      <c r="L13" s="345"/>
      <c r="M13" s="345"/>
      <c r="N13" s="345"/>
      <c r="O13" s="345"/>
      <c r="P13" s="345"/>
      <c r="Q13" s="345"/>
      <c r="R13" s="345"/>
    </row>
    <row r="14" spans="1:18" x14ac:dyDescent="0.25">
      <c r="A14" s="36"/>
      <c r="B14" s="36"/>
      <c r="C14" s="36"/>
      <c r="D14" s="36"/>
      <c r="E14" s="36"/>
      <c r="F14" s="36"/>
      <c r="G14" s="36"/>
      <c r="H14" s="36"/>
      <c r="I14" s="36"/>
      <c r="J14" s="345"/>
      <c r="K14" s="345"/>
      <c r="L14" s="345"/>
      <c r="M14" s="345"/>
      <c r="N14" s="345"/>
      <c r="O14" s="345"/>
      <c r="P14" s="345"/>
      <c r="Q14" s="345"/>
      <c r="R14" s="345"/>
    </row>
    <row r="15" spans="1:18" x14ac:dyDescent="0.25">
      <c r="A15" s="36"/>
      <c r="B15" s="36"/>
      <c r="C15" s="36"/>
      <c r="D15" s="36"/>
      <c r="E15" s="36"/>
      <c r="F15" s="36"/>
      <c r="G15" s="36"/>
      <c r="H15" s="36"/>
      <c r="I15" s="36"/>
      <c r="J15" s="345"/>
      <c r="K15" s="345"/>
      <c r="L15" s="345"/>
      <c r="M15" s="345"/>
      <c r="N15" s="345"/>
      <c r="O15" s="345"/>
      <c r="P15" s="345"/>
      <c r="Q15" s="345"/>
      <c r="R15" s="345"/>
    </row>
    <row r="16" spans="1:18" x14ac:dyDescent="0.25">
      <c r="B16" s="36"/>
      <c r="C16" s="36"/>
      <c r="D16" s="36"/>
      <c r="E16" s="36"/>
      <c r="F16" s="36"/>
      <c r="G16" s="36"/>
      <c r="H16" s="36"/>
      <c r="I16" s="36"/>
      <c r="J16" s="345"/>
      <c r="K16" s="345"/>
      <c r="L16" s="345"/>
      <c r="M16" s="345"/>
      <c r="N16" s="345"/>
      <c r="O16" s="345"/>
      <c r="P16" s="345"/>
      <c r="Q16" s="345"/>
      <c r="R16" s="345"/>
    </row>
    <row r="17" spans="1:18" x14ac:dyDescent="0.25">
      <c r="B17" s="36"/>
      <c r="C17" s="36"/>
      <c r="D17" s="36"/>
      <c r="E17" s="36"/>
      <c r="F17" s="36"/>
      <c r="G17" s="36"/>
      <c r="H17" s="36"/>
      <c r="I17" s="36"/>
      <c r="J17" s="345"/>
      <c r="K17" s="345"/>
      <c r="L17" s="345"/>
      <c r="M17" s="345"/>
      <c r="N17" s="345"/>
      <c r="O17" s="345"/>
      <c r="P17" s="345"/>
      <c r="Q17" s="345"/>
      <c r="R17" s="345"/>
    </row>
    <row r="18" spans="1:18" ht="15.75" thickBot="1" x14ac:dyDescent="0.3">
      <c r="B18" s="36"/>
      <c r="C18" s="36"/>
      <c r="D18" s="36"/>
      <c r="E18" s="36"/>
      <c r="F18" s="36"/>
      <c r="G18" s="36"/>
      <c r="H18" s="36"/>
      <c r="I18" s="36"/>
      <c r="J18" s="345"/>
      <c r="K18" s="345"/>
      <c r="L18" s="345"/>
      <c r="M18" s="345"/>
      <c r="N18" s="345"/>
      <c r="O18" s="345"/>
      <c r="P18" s="345"/>
      <c r="Q18" s="345"/>
      <c r="R18" s="345"/>
    </row>
    <row r="19" spans="1:18" ht="29.25" customHeight="1" x14ac:dyDescent="0.25">
      <c r="A19" s="612" t="s">
        <v>114</v>
      </c>
      <c r="B19" s="613"/>
      <c r="C19" s="614" t="s">
        <v>403</v>
      </c>
      <c r="D19" s="614"/>
      <c r="E19" s="614"/>
      <c r="F19" s="614"/>
      <c r="G19" s="614"/>
      <c r="H19" s="614"/>
      <c r="I19" s="615"/>
      <c r="J19" s="345"/>
      <c r="K19" s="345"/>
      <c r="L19" s="345"/>
      <c r="M19" s="345"/>
      <c r="N19" s="345"/>
      <c r="O19" s="345"/>
      <c r="P19" s="345"/>
      <c r="Q19" s="345"/>
      <c r="R19" s="345"/>
    </row>
    <row r="20" spans="1:18" ht="16.5" x14ac:dyDescent="0.25">
      <c r="A20" s="604" t="s">
        <v>118</v>
      </c>
      <c r="B20" s="605"/>
      <c r="C20" s="610"/>
      <c r="D20" s="610"/>
      <c r="E20" s="610"/>
      <c r="F20" s="610"/>
      <c r="G20" s="610"/>
      <c r="H20" s="610"/>
      <c r="I20" s="611"/>
      <c r="J20" s="345"/>
      <c r="K20" s="345"/>
      <c r="L20" s="345"/>
      <c r="M20" s="345"/>
      <c r="N20" s="345"/>
      <c r="O20" s="345"/>
      <c r="P20" s="345"/>
      <c r="Q20" s="345"/>
      <c r="R20" s="345"/>
    </row>
    <row r="21" spans="1:18" ht="16.5" x14ac:dyDescent="0.25">
      <c r="A21" s="604" t="s">
        <v>117</v>
      </c>
      <c r="B21" s="605"/>
      <c r="C21" s="610" t="s">
        <v>401</v>
      </c>
      <c r="D21" s="610"/>
      <c r="E21" s="610"/>
      <c r="F21" s="610"/>
      <c r="G21" s="610"/>
      <c r="H21" s="610"/>
      <c r="I21" s="611"/>
      <c r="J21" s="345"/>
      <c r="K21" s="345"/>
      <c r="L21" s="345"/>
      <c r="M21" s="345"/>
      <c r="N21" s="345"/>
      <c r="O21" s="345"/>
      <c r="P21" s="345"/>
      <c r="Q21" s="345"/>
      <c r="R21" s="345"/>
    </row>
    <row r="22" spans="1:18" ht="14.45" customHeight="1" x14ac:dyDescent="0.25">
      <c r="A22" s="604" t="s">
        <v>51</v>
      </c>
      <c r="B22" s="605"/>
      <c r="C22" s="610" t="s">
        <v>360</v>
      </c>
      <c r="D22" s="610"/>
      <c r="E22" s="610"/>
      <c r="F22" s="610"/>
      <c r="G22" s="610"/>
      <c r="H22" s="610"/>
      <c r="I22" s="611"/>
      <c r="J22" s="345"/>
      <c r="K22" s="345"/>
      <c r="L22" s="345"/>
      <c r="M22" s="345"/>
      <c r="N22" s="345"/>
      <c r="O22" s="345"/>
      <c r="P22" s="345"/>
      <c r="Q22" s="345"/>
      <c r="R22" s="345"/>
    </row>
    <row r="23" spans="1:18" ht="16.5" x14ac:dyDescent="0.25">
      <c r="A23" s="604" t="s">
        <v>52</v>
      </c>
      <c r="B23" s="605"/>
      <c r="C23" s="610" t="s">
        <v>361</v>
      </c>
      <c r="D23" s="610"/>
      <c r="E23" s="610"/>
      <c r="F23" s="610"/>
      <c r="G23" s="610"/>
      <c r="H23" s="610"/>
      <c r="I23" s="611"/>
      <c r="J23" s="345"/>
      <c r="K23" s="345"/>
      <c r="L23" s="345"/>
      <c r="M23" s="345"/>
      <c r="N23" s="345"/>
      <c r="O23" s="345"/>
      <c r="P23" s="345"/>
      <c r="Q23" s="345"/>
      <c r="R23" s="345"/>
    </row>
    <row r="24" spans="1:18" ht="16.5" x14ac:dyDescent="0.25">
      <c r="A24" s="604" t="s">
        <v>53</v>
      </c>
      <c r="B24" s="605"/>
      <c r="C24" s="610" t="s">
        <v>362</v>
      </c>
      <c r="D24" s="610"/>
      <c r="E24" s="610"/>
      <c r="F24" s="610"/>
      <c r="G24" s="610"/>
      <c r="H24" s="610"/>
      <c r="I24" s="611"/>
      <c r="J24" s="345"/>
      <c r="K24" s="345"/>
      <c r="L24" s="345"/>
      <c r="M24" s="345"/>
      <c r="N24" s="345"/>
      <c r="O24" s="345"/>
      <c r="P24" s="345"/>
      <c r="Q24" s="345"/>
      <c r="R24" s="345"/>
    </row>
    <row r="25" spans="1:18" ht="16.5" x14ac:dyDescent="0.25">
      <c r="A25" s="604" t="s">
        <v>54</v>
      </c>
      <c r="B25" s="605"/>
      <c r="C25" s="638" t="s">
        <v>363</v>
      </c>
      <c r="D25" s="610"/>
      <c r="E25" s="610"/>
      <c r="F25" s="610"/>
      <c r="G25" s="610"/>
      <c r="H25" s="610"/>
      <c r="I25" s="611"/>
      <c r="J25" s="345"/>
      <c r="K25" s="345"/>
      <c r="L25" s="345"/>
      <c r="M25" s="345"/>
      <c r="N25" s="345"/>
      <c r="O25" s="345"/>
      <c r="P25" s="345"/>
      <c r="Q25" s="345"/>
      <c r="R25" s="345"/>
    </row>
    <row r="26" spans="1:18" ht="16.5" x14ac:dyDescent="0.25">
      <c r="A26" s="604" t="s">
        <v>55</v>
      </c>
      <c r="B26" s="605"/>
      <c r="C26" s="606" t="s">
        <v>364</v>
      </c>
      <c r="D26" s="606"/>
      <c r="E26" s="606"/>
      <c r="F26" s="606"/>
      <c r="G26" s="606"/>
      <c r="H26" s="606"/>
      <c r="I26" s="607"/>
      <c r="J26" s="345"/>
      <c r="K26" s="345"/>
      <c r="L26" s="345"/>
      <c r="M26" s="345"/>
      <c r="N26" s="345"/>
      <c r="O26" s="345"/>
      <c r="P26" s="345"/>
      <c r="Q26" s="345"/>
      <c r="R26" s="345"/>
    </row>
    <row r="27" spans="1:18" ht="19.350000000000001" customHeight="1" x14ac:dyDescent="0.25">
      <c r="A27" s="604" t="s">
        <v>56</v>
      </c>
      <c r="B27" s="605"/>
      <c r="C27" s="623" t="s">
        <v>402</v>
      </c>
      <c r="D27" s="623"/>
      <c r="E27" s="623"/>
      <c r="F27" s="623"/>
      <c r="G27" s="623"/>
      <c r="H27" s="623"/>
      <c r="I27" s="624"/>
      <c r="J27" s="345"/>
      <c r="K27" s="345"/>
      <c r="L27" s="345"/>
      <c r="M27" s="345"/>
      <c r="N27" s="345"/>
      <c r="O27" s="345"/>
      <c r="P27" s="345"/>
      <c r="Q27" s="345"/>
      <c r="R27" s="345"/>
    </row>
    <row r="28" spans="1:18" ht="33" customHeight="1" thickBot="1" x14ac:dyDescent="0.3">
      <c r="A28" s="625" t="s">
        <v>57</v>
      </c>
      <c r="B28" s="626"/>
      <c r="C28" s="627" t="s">
        <v>368</v>
      </c>
      <c r="D28" s="628"/>
      <c r="E28" s="628"/>
      <c r="F28" s="628"/>
      <c r="G28" s="628"/>
      <c r="H28" s="628"/>
      <c r="I28" s="629"/>
      <c r="J28" s="345"/>
      <c r="K28" s="345"/>
      <c r="L28" s="345"/>
      <c r="M28" s="345"/>
      <c r="N28" s="345"/>
      <c r="O28" s="345"/>
      <c r="P28" s="345"/>
      <c r="Q28" s="345"/>
      <c r="R28" s="345"/>
    </row>
    <row r="29" spans="1:18" x14ac:dyDescent="0.25">
      <c r="A29" s="36"/>
      <c r="B29" s="36"/>
      <c r="C29" s="36"/>
      <c r="D29" s="36"/>
      <c r="E29" s="36"/>
      <c r="F29" s="36"/>
      <c r="G29" s="36"/>
      <c r="H29" s="36"/>
      <c r="I29" s="36"/>
      <c r="J29" s="345"/>
      <c r="K29" s="345"/>
      <c r="L29" s="345"/>
      <c r="M29" s="345"/>
      <c r="N29" s="345"/>
      <c r="O29" s="345"/>
      <c r="P29" s="345"/>
      <c r="Q29" s="345"/>
      <c r="R29" s="345"/>
    </row>
    <row r="30" spans="1:18" ht="15.75" thickBot="1" x14ac:dyDescent="0.3">
      <c r="A30" s="630" t="s">
        <v>61</v>
      </c>
      <c r="B30" s="630"/>
      <c r="C30" s="630"/>
      <c r="D30" s="630"/>
      <c r="E30" s="630"/>
      <c r="F30" s="630"/>
      <c r="G30" s="630"/>
      <c r="H30" s="630"/>
      <c r="I30" s="630"/>
      <c r="J30" s="345"/>
      <c r="K30" s="345"/>
      <c r="L30" s="345"/>
      <c r="M30" s="345"/>
      <c r="N30" s="345"/>
      <c r="O30" s="345"/>
      <c r="P30" s="345"/>
      <c r="Q30" s="345"/>
      <c r="R30" s="345"/>
    </row>
    <row r="31" spans="1:18" ht="14.45" customHeight="1" x14ac:dyDescent="0.25">
      <c r="A31" s="631" t="s">
        <v>58</v>
      </c>
      <c r="B31" s="632"/>
      <c r="C31" s="616" t="s">
        <v>59</v>
      </c>
      <c r="D31" s="616"/>
      <c r="E31" s="636" t="s">
        <v>62</v>
      </c>
      <c r="F31" s="636"/>
      <c r="G31" s="618" t="s">
        <v>63</v>
      </c>
      <c r="H31" s="618"/>
      <c r="I31" s="620" t="s">
        <v>64</v>
      </c>
      <c r="J31" s="345"/>
      <c r="K31" s="345"/>
      <c r="L31" s="345"/>
      <c r="M31" s="345"/>
      <c r="N31" s="345"/>
      <c r="O31" s="345"/>
      <c r="P31" s="345"/>
      <c r="Q31" s="345"/>
      <c r="R31" s="345"/>
    </row>
    <row r="32" spans="1:18" ht="15.75" thickBot="1" x14ac:dyDescent="0.3">
      <c r="A32" s="633"/>
      <c r="B32" s="634"/>
      <c r="C32" s="635"/>
      <c r="D32" s="635"/>
      <c r="E32" s="637"/>
      <c r="F32" s="637"/>
      <c r="G32" s="619"/>
      <c r="H32" s="619"/>
      <c r="I32" s="621"/>
      <c r="J32" s="345"/>
      <c r="K32" s="345"/>
      <c r="L32" s="345"/>
      <c r="M32" s="345"/>
      <c r="N32" s="345"/>
      <c r="O32" s="345"/>
      <c r="P32" s="345"/>
      <c r="Q32" s="345"/>
      <c r="R32" s="345"/>
    </row>
    <row r="33" spans="1:18" x14ac:dyDescent="0.25">
      <c r="A33" s="616"/>
      <c r="B33" s="616"/>
      <c r="C33" s="616"/>
      <c r="D33" s="616"/>
      <c r="E33" s="616"/>
      <c r="F33" s="616"/>
      <c r="G33" s="616"/>
      <c r="H33" s="616"/>
      <c r="I33" s="616"/>
      <c r="J33" s="345"/>
      <c r="K33" s="345"/>
      <c r="L33" s="345"/>
      <c r="M33" s="345"/>
      <c r="N33" s="345"/>
      <c r="O33" s="345"/>
      <c r="P33" s="345"/>
      <c r="Q33" s="345"/>
      <c r="R33" s="345"/>
    </row>
    <row r="34" spans="1:18" x14ac:dyDescent="0.25">
      <c r="A34" s="617"/>
      <c r="B34" s="617"/>
      <c r="C34" s="617"/>
      <c r="D34" s="617"/>
      <c r="E34" s="617"/>
      <c r="F34" s="617"/>
      <c r="G34" s="617"/>
      <c r="H34" s="617"/>
      <c r="I34" s="617"/>
      <c r="J34" s="345"/>
      <c r="K34" s="345"/>
      <c r="L34" s="345"/>
      <c r="M34" s="345"/>
      <c r="N34" s="345"/>
      <c r="O34" s="345"/>
      <c r="P34" s="345"/>
      <c r="Q34" s="345"/>
      <c r="R34" s="345"/>
    </row>
    <row r="35" spans="1:18" x14ac:dyDescent="0.25">
      <c r="A35" s="617"/>
      <c r="B35" s="617"/>
      <c r="C35" s="617"/>
      <c r="D35" s="617"/>
      <c r="E35" s="617"/>
      <c r="F35" s="617"/>
      <c r="G35" s="617"/>
      <c r="H35" s="617"/>
      <c r="I35" s="617"/>
      <c r="J35" s="345"/>
      <c r="K35" s="345"/>
      <c r="L35" s="345"/>
      <c r="M35" s="345"/>
      <c r="N35" s="345"/>
      <c r="O35" s="345"/>
      <c r="P35" s="345"/>
      <c r="Q35" s="345"/>
      <c r="R35" s="345"/>
    </row>
    <row r="36" spans="1:18" x14ac:dyDescent="0.25">
      <c r="A36" s="83"/>
      <c r="B36" s="83"/>
      <c r="C36" s="36"/>
      <c r="D36" s="36"/>
      <c r="E36" s="36"/>
      <c r="F36" s="36"/>
      <c r="G36" s="36"/>
      <c r="H36" s="36"/>
      <c r="I36" s="36"/>
      <c r="J36" s="345"/>
      <c r="K36" s="345"/>
      <c r="L36" s="345"/>
      <c r="M36" s="345"/>
      <c r="N36" s="345"/>
      <c r="O36" s="345"/>
      <c r="P36" s="345"/>
      <c r="Q36" s="345"/>
      <c r="R36" s="345"/>
    </row>
    <row r="37" spans="1:18" x14ac:dyDescent="0.25">
      <c r="A37" s="36"/>
      <c r="B37" s="36"/>
      <c r="C37" s="36"/>
      <c r="D37" s="36"/>
      <c r="E37" s="36"/>
      <c r="F37" s="36"/>
      <c r="G37" s="36"/>
      <c r="H37" s="36"/>
      <c r="I37" s="36"/>
      <c r="J37" s="345"/>
      <c r="K37" s="345"/>
      <c r="L37" s="345"/>
      <c r="M37" s="345"/>
      <c r="N37" s="345"/>
      <c r="O37" s="345"/>
      <c r="P37" s="345"/>
      <c r="Q37" s="345"/>
      <c r="R37" s="345"/>
    </row>
    <row r="38" spans="1:18" x14ac:dyDescent="0.25">
      <c r="A38" s="36"/>
      <c r="B38" s="36"/>
      <c r="C38" s="36"/>
      <c r="D38" s="36"/>
      <c r="E38" s="36"/>
      <c r="F38" s="36"/>
      <c r="G38" s="36"/>
      <c r="H38" s="36"/>
      <c r="I38" s="36"/>
      <c r="J38" s="345"/>
      <c r="K38" s="345"/>
      <c r="L38" s="345"/>
      <c r="M38" s="345"/>
      <c r="N38" s="345"/>
      <c r="O38" s="345"/>
      <c r="P38" s="345"/>
      <c r="Q38" s="345"/>
      <c r="R38" s="345"/>
    </row>
    <row r="39" spans="1:18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45"/>
      <c r="K39" s="345"/>
      <c r="L39" s="345"/>
      <c r="M39" s="345"/>
      <c r="N39" s="345"/>
      <c r="O39" s="345"/>
      <c r="P39" s="345"/>
      <c r="Q39" s="345"/>
      <c r="R39" s="345"/>
    </row>
    <row r="40" spans="1:18" x14ac:dyDescent="0.25">
      <c r="A40" s="36"/>
      <c r="B40" s="36"/>
      <c r="C40" s="36"/>
      <c r="D40" s="36"/>
      <c r="E40" s="36"/>
      <c r="F40" s="36"/>
      <c r="G40" s="36"/>
      <c r="H40" s="36"/>
      <c r="I40" s="36"/>
      <c r="J40" s="345"/>
      <c r="K40" s="345"/>
      <c r="L40" s="345"/>
      <c r="M40" s="345"/>
      <c r="N40" s="345"/>
      <c r="O40" s="345"/>
      <c r="P40" s="345"/>
      <c r="Q40" s="345"/>
      <c r="R40" s="345"/>
    </row>
    <row r="41" spans="1:18" x14ac:dyDescent="0.25">
      <c r="A41" s="36"/>
      <c r="B41" s="36"/>
      <c r="C41" s="36"/>
      <c r="D41" s="36"/>
      <c r="E41" s="36"/>
      <c r="F41" s="36"/>
      <c r="G41" s="36"/>
      <c r="H41" s="36"/>
      <c r="I41" s="36"/>
      <c r="J41" s="345"/>
      <c r="K41" s="345"/>
      <c r="L41" s="345"/>
      <c r="M41" s="345"/>
      <c r="N41" s="345"/>
      <c r="O41" s="345"/>
      <c r="P41" s="345"/>
      <c r="Q41" s="345"/>
      <c r="R41" s="345"/>
    </row>
    <row r="42" spans="1:18" x14ac:dyDescent="0.25">
      <c r="A42" s="36"/>
      <c r="B42" s="36"/>
      <c r="C42" s="36"/>
      <c r="D42" s="36"/>
      <c r="E42" s="36"/>
      <c r="F42" s="36"/>
      <c r="G42" s="36"/>
      <c r="H42" s="36"/>
      <c r="I42" s="36"/>
      <c r="J42" s="345"/>
      <c r="K42" s="345"/>
      <c r="L42" s="345"/>
      <c r="M42" s="345"/>
      <c r="N42" s="345"/>
      <c r="O42" s="345"/>
      <c r="P42" s="345"/>
      <c r="Q42" s="345"/>
      <c r="R42" s="345"/>
    </row>
    <row r="43" spans="1:18" x14ac:dyDescent="0.25">
      <c r="A43" s="36"/>
      <c r="B43" s="36"/>
      <c r="C43" s="36"/>
      <c r="D43" s="36"/>
      <c r="E43" s="36"/>
      <c r="F43" s="36"/>
      <c r="G43" s="36"/>
      <c r="H43" s="36"/>
      <c r="I43" s="36"/>
    </row>
    <row r="44" spans="1:18" x14ac:dyDescent="0.25">
      <c r="A44" s="36"/>
      <c r="B44" s="36"/>
      <c r="C44" s="36"/>
      <c r="D44" s="36"/>
      <c r="E44" s="36"/>
      <c r="F44" s="36"/>
      <c r="G44" s="36"/>
      <c r="H44" s="36"/>
      <c r="I44" s="36"/>
    </row>
    <row r="45" spans="1:18" x14ac:dyDescent="0.25">
      <c r="A45" s="36"/>
      <c r="B45" s="36"/>
      <c r="C45" s="36"/>
      <c r="D45" s="36"/>
      <c r="E45" s="36"/>
      <c r="F45" s="36"/>
      <c r="G45" s="36"/>
      <c r="H45" s="36"/>
      <c r="I45" s="36"/>
    </row>
    <row r="46" spans="1:18" x14ac:dyDescent="0.25">
      <c r="A46" s="36"/>
      <c r="B46" s="36"/>
      <c r="C46" s="36"/>
      <c r="D46" s="36"/>
      <c r="E46" s="36"/>
      <c r="F46" s="36"/>
      <c r="G46" s="36"/>
      <c r="H46" s="36"/>
      <c r="I46" s="36"/>
    </row>
  </sheetData>
  <mergeCells count="30">
    <mergeCell ref="A33:I35"/>
    <mergeCell ref="G31:H32"/>
    <mergeCell ref="I31:I32"/>
    <mergeCell ref="A7:I7"/>
    <mergeCell ref="A27:B27"/>
    <mergeCell ref="C27:I27"/>
    <mergeCell ref="A28:B28"/>
    <mergeCell ref="C28:I28"/>
    <mergeCell ref="A30:I30"/>
    <mergeCell ref="A31:B32"/>
    <mergeCell ref="C31:D32"/>
    <mergeCell ref="E31:F32"/>
    <mergeCell ref="A24:B24"/>
    <mergeCell ref="C24:I24"/>
    <mergeCell ref="A25:B25"/>
    <mergeCell ref="C25:I25"/>
    <mergeCell ref="A26:B26"/>
    <mergeCell ref="C26:I26"/>
    <mergeCell ref="A6:I6"/>
    <mergeCell ref="A8:I10"/>
    <mergeCell ref="A22:B22"/>
    <mergeCell ref="C22:I22"/>
    <mergeCell ref="A23:B23"/>
    <mergeCell ref="C23:I23"/>
    <mergeCell ref="A19:B19"/>
    <mergeCell ref="C19:I19"/>
    <mergeCell ref="A20:B20"/>
    <mergeCell ref="C20:I20"/>
    <mergeCell ref="A21:B21"/>
    <mergeCell ref="C21:I21"/>
  </mergeCells>
  <phoneticPr fontId="74" type="noConversion"/>
  <hyperlinks>
    <hyperlink ref="C28" r:id="rId1"/>
    <hyperlink ref="C25" r:id="rId2"/>
  </hyperlink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  <outlinePr summaryBelow="0" summaryRight="0"/>
  </sheetPr>
  <dimension ref="A1:E75"/>
  <sheetViews>
    <sheetView view="pageBreakPreview" zoomScaleNormal="85" zoomScaleSheetLayoutView="100" workbookViewId="0">
      <selection activeCell="F5" sqref="F5"/>
    </sheetView>
  </sheetViews>
  <sheetFormatPr defaultColWidth="8.85546875" defaultRowHeight="15" outlineLevelRow="2" x14ac:dyDescent="0.25"/>
  <cols>
    <col min="1" max="1" width="22.42578125" customWidth="1"/>
    <col min="2" max="2" width="23.28515625" customWidth="1"/>
    <col min="3" max="3" width="22.42578125" customWidth="1"/>
    <col min="5" max="5" width="17.85546875" customWidth="1"/>
  </cols>
  <sheetData>
    <row r="1" spans="1:5" ht="25.35" customHeight="1" thickBot="1" x14ac:dyDescent="0.4">
      <c r="A1" s="703" t="s">
        <v>99</v>
      </c>
      <c r="B1" s="703"/>
      <c r="C1" s="703"/>
      <c r="D1" s="704"/>
      <c r="E1" s="70" t="s">
        <v>35</v>
      </c>
    </row>
    <row r="2" spans="1:5" ht="15.75" collapsed="1" thickBot="1" x14ac:dyDescent="0.3">
      <c r="A2" s="40" t="s">
        <v>0</v>
      </c>
      <c r="B2" s="75" t="s">
        <v>75</v>
      </c>
      <c r="C2" s="75" t="s">
        <v>74</v>
      </c>
      <c r="D2" s="75" t="s">
        <v>23</v>
      </c>
      <c r="E2" s="17"/>
    </row>
    <row r="3" spans="1:5" ht="15.75" thickBot="1" x14ac:dyDescent="0.3">
      <c r="A3" s="705" t="s">
        <v>79</v>
      </c>
      <c r="B3" s="706"/>
      <c r="C3" s="706"/>
      <c r="D3" s="80"/>
      <c r="E3" s="77">
        <f>E4+E25</f>
        <v>718344</v>
      </c>
    </row>
    <row r="4" spans="1:5" ht="15.75" outlineLevel="1" thickBot="1" x14ac:dyDescent="0.3">
      <c r="A4" s="17" t="s">
        <v>106</v>
      </c>
      <c r="B4" s="17"/>
      <c r="C4" s="17"/>
      <c r="D4" s="28"/>
      <c r="E4" s="124">
        <f>SUM(E5:E24)</f>
        <v>718344</v>
      </c>
    </row>
    <row r="5" spans="1:5" outlineLevel="2" x14ac:dyDescent="0.25">
      <c r="A5" s="701" t="s">
        <v>80</v>
      </c>
      <c r="B5" s="702" t="s">
        <v>81</v>
      </c>
      <c r="C5" s="702">
        <v>635009</v>
      </c>
      <c r="D5" s="67" t="s">
        <v>25</v>
      </c>
      <c r="E5" s="64">
        <f>199540*1.2</f>
        <v>239448</v>
      </c>
    </row>
    <row r="6" spans="1:5" outlineLevel="2" x14ac:dyDescent="0.25">
      <c r="A6" s="701"/>
      <c r="B6" s="702"/>
      <c r="C6" s="702"/>
      <c r="D6" s="68" t="s">
        <v>26</v>
      </c>
      <c r="E6" s="65">
        <f>E5</f>
        <v>239448</v>
      </c>
    </row>
    <row r="7" spans="1:5" outlineLevel="2" x14ac:dyDescent="0.25">
      <c r="A7" s="701"/>
      <c r="B7" s="702"/>
      <c r="C7" s="702"/>
      <c r="D7" s="68" t="s">
        <v>27</v>
      </c>
      <c r="E7" s="65">
        <f>E5</f>
        <v>239448</v>
      </c>
    </row>
    <row r="8" spans="1:5" outlineLevel="2" x14ac:dyDescent="0.25">
      <c r="A8" s="701"/>
      <c r="B8" s="702"/>
      <c r="C8" s="702"/>
      <c r="D8" s="68" t="s">
        <v>28</v>
      </c>
      <c r="E8" s="65"/>
    </row>
    <row r="9" spans="1:5" outlineLevel="2" x14ac:dyDescent="0.25">
      <c r="A9" s="701"/>
      <c r="B9" s="702"/>
      <c r="C9" s="702"/>
      <c r="D9" s="68" t="s">
        <v>29</v>
      </c>
      <c r="E9" s="65"/>
    </row>
    <row r="10" spans="1:5" outlineLevel="2" x14ac:dyDescent="0.25">
      <c r="A10" s="701"/>
      <c r="B10" s="702"/>
      <c r="C10" s="702"/>
      <c r="D10" s="68" t="s">
        <v>30</v>
      </c>
      <c r="E10" s="65"/>
    </row>
    <row r="11" spans="1:5" outlineLevel="2" x14ac:dyDescent="0.25">
      <c r="A11" s="701"/>
      <c r="B11" s="702"/>
      <c r="C11" s="702"/>
      <c r="D11" s="68" t="s">
        <v>31</v>
      </c>
      <c r="E11" s="65"/>
    </row>
    <row r="12" spans="1:5" outlineLevel="2" x14ac:dyDescent="0.25">
      <c r="A12" s="701"/>
      <c r="B12" s="702"/>
      <c r="C12" s="702"/>
      <c r="D12" s="68" t="s">
        <v>32</v>
      </c>
      <c r="E12" s="65"/>
    </row>
    <row r="13" spans="1:5" outlineLevel="2" x14ac:dyDescent="0.25">
      <c r="A13" s="701"/>
      <c r="B13" s="702"/>
      <c r="C13" s="702"/>
      <c r="D13" s="68" t="s">
        <v>33</v>
      </c>
      <c r="E13" s="65"/>
    </row>
    <row r="14" spans="1:5" ht="15.75" outlineLevel="2" thickBot="1" x14ac:dyDescent="0.3">
      <c r="A14" s="701"/>
      <c r="B14" s="702"/>
      <c r="C14" s="702"/>
      <c r="D14" s="69" t="s">
        <v>34</v>
      </c>
      <c r="E14" s="66"/>
    </row>
    <row r="15" spans="1:5" outlineLevel="2" x14ac:dyDescent="0.25">
      <c r="A15" s="701" t="s">
        <v>82</v>
      </c>
      <c r="B15" s="702" t="s">
        <v>73</v>
      </c>
      <c r="C15" s="702">
        <v>718006</v>
      </c>
      <c r="D15" s="67" t="s">
        <v>25</v>
      </c>
      <c r="E15" s="65">
        <v>0</v>
      </c>
    </row>
    <row r="16" spans="1:5" outlineLevel="2" x14ac:dyDescent="0.25">
      <c r="A16" s="701"/>
      <c r="B16" s="702"/>
      <c r="C16" s="702"/>
      <c r="D16" s="68" t="s">
        <v>26</v>
      </c>
      <c r="E16" s="65">
        <v>0</v>
      </c>
    </row>
    <row r="17" spans="1:5" outlineLevel="2" x14ac:dyDescent="0.25">
      <c r="A17" s="701"/>
      <c r="B17" s="702"/>
      <c r="C17" s="702"/>
      <c r="D17" s="68" t="s">
        <v>27</v>
      </c>
      <c r="E17" s="65">
        <v>0</v>
      </c>
    </row>
    <row r="18" spans="1:5" outlineLevel="2" x14ac:dyDescent="0.25">
      <c r="A18" s="701"/>
      <c r="B18" s="702"/>
      <c r="C18" s="702"/>
      <c r="D18" s="68" t="s">
        <v>28</v>
      </c>
      <c r="E18" s="65">
        <v>0</v>
      </c>
    </row>
    <row r="19" spans="1:5" outlineLevel="2" x14ac:dyDescent="0.25">
      <c r="A19" s="701"/>
      <c r="B19" s="702"/>
      <c r="C19" s="702"/>
      <c r="D19" s="68" t="s">
        <v>29</v>
      </c>
      <c r="E19" s="65">
        <v>0</v>
      </c>
    </row>
    <row r="20" spans="1:5" outlineLevel="2" x14ac:dyDescent="0.25">
      <c r="A20" s="701"/>
      <c r="B20" s="702"/>
      <c r="C20" s="702"/>
      <c r="D20" s="68" t="s">
        <v>30</v>
      </c>
      <c r="E20" s="65">
        <v>0</v>
      </c>
    </row>
    <row r="21" spans="1:5" outlineLevel="2" x14ac:dyDescent="0.25">
      <c r="A21" s="701"/>
      <c r="B21" s="702"/>
      <c r="C21" s="702"/>
      <c r="D21" s="68" t="s">
        <v>31</v>
      </c>
      <c r="E21" s="65">
        <v>0</v>
      </c>
    </row>
    <row r="22" spans="1:5" outlineLevel="2" x14ac:dyDescent="0.25">
      <c r="A22" s="701"/>
      <c r="B22" s="702"/>
      <c r="C22" s="702"/>
      <c r="D22" s="68" t="s">
        <v>32</v>
      </c>
      <c r="E22" s="65">
        <v>0</v>
      </c>
    </row>
    <row r="23" spans="1:5" outlineLevel="2" x14ac:dyDescent="0.25">
      <c r="A23" s="701"/>
      <c r="B23" s="702"/>
      <c r="C23" s="702"/>
      <c r="D23" s="68" t="s">
        <v>33</v>
      </c>
      <c r="E23" s="65">
        <v>0</v>
      </c>
    </row>
    <row r="24" spans="1:5" ht="15.75" outlineLevel="2" thickBot="1" x14ac:dyDescent="0.3">
      <c r="A24" s="701"/>
      <c r="B24" s="702"/>
      <c r="C24" s="702"/>
      <c r="D24" s="69" t="s">
        <v>34</v>
      </c>
      <c r="E24" s="66">
        <v>0</v>
      </c>
    </row>
    <row r="25" spans="1:5" ht="15.75" outlineLevel="1" thickBot="1" x14ac:dyDescent="0.3">
      <c r="A25" s="17" t="s">
        <v>107</v>
      </c>
      <c r="B25" s="17"/>
      <c r="C25" s="17"/>
      <c r="D25" s="28"/>
      <c r="E25" s="126">
        <f>SUM(E26:E75)</f>
        <v>0</v>
      </c>
    </row>
    <row r="26" spans="1:5" outlineLevel="2" x14ac:dyDescent="0.25">
      <c r="A26" s="701" t="s">
        <v>83</v>
      </c>
      <c r="B26" s="702" t="s">
        <v>81</v>
      </c>
      <c r="C26" s="702">
        <v>635009</v>
      </c>
      <c r="D26" s="67" t="s">
        <v>25</v>
      </c>
      <c r="E26" s="65">
        <v>0</v>
      </c>
    </row>
    <row r="27" spans="1:5" outlineLevel="2" x14ac:dyDescent="0.25">
      <c r="A27" s="701"/>
      <c r="B27" s="702"/>
      <c r="C27" s="702"/>
      <c r="D27" s="68" t="s">
        <v>26</v>
      </c>
      <c r="E27" s="65">
        <v>0</v>
      </c>
    </row>
    <row r="28" spans="1:5" outlineLevel="2" x14ac:dyDescent="0.25">
      <c r="A28" s="701"/>
      <c r="B28" s="702"/>
      <c r="C28" s="702"/>
      <c r="D28" s="68" t="s">
        <v>27</v>
      </c>
      <c r="E28" s="65">
        <v>0</v>
      </c>
    </row>
    <row r="29" spans="1:5" outlineLevel="2" x14ac:dyDescent="0.25">
      <c r="A29" s="701"/>
      <c r="B29" s="702"/>
      <c r="C29" s="702"/>
      <c r="D29" s="68" t="s">
        <v>28</v>
      </c>
      <c r="E29" s="65">
        <v>0</v>
      </c>
    </row>
    <row r="30" spans="1:5" outlineLevel="2" x14ac:dyDescent="0.25">
      <c r="A30" s="701"/>
      <c r="B30" s="702"/>
      <c r="C30" s="702"/>
      <c r="D30" s="68" t="s">
        <v>29</v>
      </c>
      <c r="E30" s="65">
        <v>0</v>
      </c>
    </row>
    <row r="31" spans="1:5" outlineLevel="2" x14ac:dyDescent="0.25">
      <c r="A31" s="701"/>
      <c r="B31" s="702"/>
      <c r="C31" s="702"/>
      <c r="D31" s="68" t="s">
        <v>30</v>
      </c>
      <c r="E31" s="65">
        <v>0</v>
      </c>
    </row>
    <row r="32" spans="1:5" outlineLevel="2" x14ac:dyDescent="0.25">
      <c r="A32" s="701"/>
      <c r="B32" s="702"/>
      <c r="C32" s="702"/>
      <c r="D32" s="68" t="s">
        <v>31</v>
      </c>
      <c r="E32" s="65">
        <v>0</v>
      </c>
    </row>
    <row r="33" spans="1:5" outlineLevel="2" x14ac:dyDescent="0.25">
      <c r="A33" s="701"/>
      <c r="B33" s="702"/>
      <c r="C33" s="702"/>
      <c r="D33" s="68" t="s">
        <v>32</v>
      </c>
      <c r="E33" s="65">
        <v>0</v>
      </c>
    </row>
    <row r="34" spans="1:5" outlineLevel="2" x14ac:dyDescent="0.25">
      <c r="A34" s="701"/>
      <c r="B34" s="702"/>
      <c r="C34" s="702"/>
      <c r="D34" s="68" t="s">
        <v>33</v>
      </c>
      <c r="E34" s="65">
        <v>0</v>
      </c>
    </row>
    <row r="35" spans="1:5" ht="15.75" outlineLevel="2" thickBot="1" x14ac:dyDescent="0.3">
      <c r="A35" s="701"/>
      <c r="B35" s="702"/>
      <c r="C35" s="702"/>
      <c r="D35" s="69" t="s">
        <v>34</v>
      </c>
      <c r="E35" s="65">
        <v>0</v>
      </c>
    </row>
    <row r="36" spans="1:5" outlineLevel="2" x14ac:dyDescent="0.25">
      <c r="A36" s="701" t="s">
        <v>84</v>
      </c>
      <c r="B36" s="702" t="s">
        <v>78</v>
      </c>
      <c r="C36" s="702">
        <v>637005</v>
      </c>
      <c r="D36" s="67" t="s">
        <v>25</v>
      </c>
      <c r="E36" s="72">
        <v>0</v>
      </c>
    </row>
    <row r="37" spans="1:5" outlineLevel="2" x14ac:dyDescent="0.25">
      <c r="A37" s="701"/>
      <c r="B37" s="702"/>
      <c r="C37" s="702"/>
      <c r="D37" s="68" t="s">
        <v>26</v>
      </c>
      <c r="E37" s="72">
        <v>0</v>
      </c>
    </row>
    <row r="38" spans="1:5" outlineLevel="2" x14ac:dyDescent="0.25">
      <c r="A38" s="701"/>
      <c r="B38" s="702"/>
      <c r="C38" s="702"/>
      <c r="D38" s="68" t="s">
        <v>27</v>
      </c>
      <c r="E38" s="72">
        <v>0</v>
      </c>
    </row>
    <row r="39" spans="1:5" outlineLevel="2" x14ac:dyDescent="0.25">
      <c r="A39" s="701"/>
      <c r="B39" s="702"/>
      <c r="C39" s="702"/>
      <c r="D39" s="68" t="s">
        <v>28</v>
      </c>
      <c r="E39" s="72">
        <v>0</v>
      </c>
    </row>
    <row r="40" spans="1:5" outlineLevel="2" x14ac:dyDescent="0.25">
      <c r="A40" s="701"/>
      <c r="B40" s="702"/>
      <c r="C40" s="702"/>
      <c r="D40" s="68" t="s">
        <v>29</v>
      </c>
      <c r="E40" s="72">
        <v>0</v>
      </c>
    </row>
    <row r="41" spans="1:5" outlineLevel="2" x14ac:dyDescent="0.25">
      <c r="A41" s="701"/>
      <c r="B41" s="702"/>
      <c r="C41" s="702"/>
      <c r="D41" s="68" t="s">
        <v>30</v>
      </c>
      <c r="E41" s="72">
        <v>0</v>
      </c>
    </row>
    <row r="42" spans="1:5" outlineLevel="2" x14ac:dyDescent="0.25">
      <c r="A42" s="701"/>
      <c r="B42" s="702"/>
      <c r="C42" s="702"/>
      <c r="D42" s="68" t="s">
        <v>31</v>
      </c>
      <c r="E42" s="72">
        <v>0</v>
      </c>
    </row>
    <row r="43" spans="1:5" outlineLevel="2" x14ac:dyDescent="0.25">
      <c r="A43" s="701"/>
      <c r="B43" s="702"/>
      <c r="C43" s="702"/>
      <c r="D43" s="68" t="s">
        <v>32</v>
      </c>
      <c r="E43" s="72">
        <v>0</v>
      </c>
    </row>
    <row r="44" spans="1:5" outlineLevel="2" x14ac:dyDescent="0.25">
      <c r="A44" s="701"/>
      <c r="B44" s="702"/>
      <c r="C44" s="702"/>
      <c r="D44" s="68" t="s">
        <v>33</v>
      </c>
      <c r="E44" s="72">
        <v>0</v>
      </c>
    </row>
    <row r="45" spans="1:5" ht="15.75" outlineLevel="2" thickBot="1" x14ac:dyDescent="0.3">
      <c r="A45" s="701"/>
      <c r="B45" s="702"/>
      <c r="C45" s="702"/>
      <c r="D45" s="69" t="s">
        <v>34</v>
      </c>
      <c r="E45" s="73">
        <v>0</v>
      </c>
    </row>
    <row r="46" spans="1:5" outlineLevel="2" x14ac:dyDescent="0.25">
      <c r="A46" s="701" t="s">
        <v>85</v>
      </c>
      <c r="B46" s="702" t="s">
        <v>73</v>
      </c>
      <c r="C46" s="702">
        <v>718006</v>
      </c>
      <c r="D46" s="67" t="s">
        <v>25</v>
      </c>
      <c r="E46" s="72">
        <v>0</v>
      </c>
    </row>
    <row r="47" spans="1:5" outlineLevel="2" x14ac:dyDescent="0.25">
      <c r="A47" s="701"/>
      <c r="B47" s="702"/>
      <c r="C47" s="702"/>
      <c r="D47" s="68" t="s">
        <v>26</v>
      </c>
      <c r="E47" s="72">
        <v>0</v>
      </c>
    </row>
    <row r="48" spans="1:5" outlineLevel="2" x14ac:dyDescent="0.25">
      <c r="A48" s="701"/>
      <c r="B48" s="702"/>
      <c r="C48" s="702"/>
      <c r="D48" s="68" t="s">
        <v>27</v>
      </c>
      <c r="E48" s="72">
        <v>0</v>
      </c>
    </row>
    <row r="49" spans="1:5" outlineLevel="2" x14ac:dyDescent="0.25">
      <c r="A49" s="701"/>
      <c r="B49" s="702"/>
      <c r="C49" s="702"/>
      <c r="D49" s="68" t="s">
        <v>28</v>
      </c>
      <c r="E49" s="72">
        <v>0</v>
      </c>
    </row>
    <row r="50" spans="1:5" outlineLevel="2" x14ac:dyDescent="0.25">
      <c r="A50" s="701"/>
      <c r="B50" s="702"/>
      <c r="C50" s="702"/>
      <c r="D50" s="68" t="s">
        <v>29</v>
      </c>
      <c r="E50" s="72">
        <v>0</v>
      </c>
    </row>
    <row r="51" spans="1:5" outlineLevel="2" x14ac:dyDescent="0.25">
      <c r="A51" s="701"/>
      <c r="B51" s="702"/>
      <c r="C51" s="702"/>
      <c r="D51" s="68" t="s">
        <v>30</v>
      </c>
      <c r="E51" s="72">
        <v>0</v>
      </c>
    </row>
    <row r="52" spans="1:5" outlineLevel="2" x14ac:dyDescent="0.25">
      <c r="A52" s="701"/>
      <c r="B52" s="702"/>
      <c r="C52" s="702"/>
      <c r="D52" s="68" t="s">
        <v>31</v>
      </c>
      <c r="E52" s="72">
        <v>0</v>
      </c>
    </row>
    <row r="53" spans="1:5" outlineLevel="2" x14ac:dyDescent="0.25">
      <c r="A53" s="701"/>
      <c r="B53" s="702"/>
      <c r="C53" s="702"/>
      <c r="D53" s="68" t="s">
        <v>32</v>
      </c>
      <c r="E53" s="72">
        <v>0</v>
      </c>
    </row>
    <row r="54" spans="1:5" outlineLevel="2" x14ac:dyDescent="0.25">
      <c r="A54" s="701"/>
      <c r="B54" s="702"/>
      <c r="C54" s="702"/>
      <c r="D54" s="68" t="s">
        <v>33</v>
      </c>
      <c r="E54" s="72">
        <v>0</v>
      </c>
    </row>
    <row r="55" spans="1:5" ht="15.75" outlineLevel="2" thickBot="1" x14ac:dyDescent="0.3">
      <c r="A55" s="701"/>
      <c r="B55" s="702"/>
      <c r="C55" s="702"/>
      <c r="D55" s="69" t="s">
        <v>34</v>
      </c>
      <c r="E55" s="73">
        <v>0</v>
      </c>
    </row>
    <row r="56" spans="1:5" outlineLevel="2" x14ac:dyDescent="0.25">
      <c r="A56" s="701" t="s">
        <v>86</v>
      </c>
      <c r="B56" s="702" t="s">
        <v>87</v>
      </c>
      <c r="C56" s="702"/>
      <c r="D56" s="67" t="s">
        <v>25</v>
      </c>
      <c r="E56" s="72">
        <v>0</v>
      </c>
    </row>
    <row r="57" spans="1:5" outlineLevel="2" x14ac:dyDescent="0.25">
      <c r="A57" s="701"/>
      <c r="B57" s="702"/>
      <c r="C57" s="702"/>
      <c r="D57" s="68" t="s">
        <v>26</v>
      </c>
      <c r="E57" s="72">
        <v>0</v>
      </c>
    </row>
    <row r="58" spans="1:5" outlineLevel="2" x14ac:dyDescent="0.25">
      <c r="A58" s="701"/>
      <c r="B58" s="702"/>
      <c r="C58" s="702"/>
      <c r="D58" s="68" t="s">
        <v>27</v>
      </c>
      <c r="E58" s="72">
        <v>0</v>
      </c>
    </row>
    <row r="59" spans="1:5" outlineLevel="2" x14ac:dyDescent="0.25">
      <c r="A59" s="701"/>
      <c r="B59" s="702"/>
      <c r="C59" s="702"/>
      <c r="D59" s="68" t="s">
        <v>28</v>
      </c>
      <c r="E59" s="72">
        <v>0</v>
      </c>
    </row>
    <row r="60" spans="1:5" outlineLevel="2" x14ac:dyDescent="0.25">
      <c r="A60" s="701"/>
      <c r="B60" s="702"/>
      <c r="C60" s="702"/>
      <c r="D60" s="68" t="s">
        <v>29</v>
      </c>
      <c r="E60" s="72">
        <v>0</v>
      </c>
    </row>
    <row r="61" spans="1:5" outlineLevel="2" x14ac:dyDescent="0.25">
      <c r="A61" s="701"/>
      <c r="B61" s="702"/>
      <c r="C61" s="702"/>
      <c r="D61" s="68" t="s">
        <v>30</v>
      </c>
      <c r="E61" s="72">
        <v>0</v>
      </c>
    </row>
    <row r="62" spans="1:5" outlineLevel="2" x14ac:dyDescent="0.25">
      <c r="A62" s="701"/>
      <c r="B62" s="702"/>
      <c r="C62" s="702"/>
      <c r="D62" s="68" t="s">
        <v>31</v>
      </c>
      <c r="E62" s="72">
        <v>0</v>
      </c>
    </row>
    <row r="63" spans="1:5" outlineLevel="2" x14ac:dyDescent="0.25">
      <c r="A63" s="701"/>
      <c r="B63" s="702"/>
      <c r="C63" s="702"/>
      <c r="D63" s="68" t="s">
        <v>32</v>
      </c>
      <c r="E63" s="72">
        <v>0</v>
      </c>
    </row>
    <row r="64" spans="1:5" outlineLevel="2" x14ac:dyDescent="0.25">
      <c r="A64" s="701"/>
      <c r="B64" s="702"/>
      <c r="C64" s="702"/>
      <c r="D64" s="68" t="s">
        <v>33</v>
      </c>
      <c r="E64" s="72">
        <v>0</v>
      </c>
    </row>
    <row r="65" spans="1:5" ht="15.75" outlineLevel="2" thickBot="1" x14ac:dyDescent="0.3">
      <c r="A65" s="701"/>
      <c r="B65" s="702"/>
      <c r="C65" s="702"/>
      <c r="D65" s="69" t="s">
        <v>34</v>
      </c>
      <c r="E65" s="73">
        <v>0</v>
      </c>
    </row>
    <row r="66" spans="1:5" outlineLevel="2" x14ac:dyDescent="0.25">
      <c r="A66" s="701" t="s">
        <v>77</v>
      </c>
      <c r="B66" s="702" t="s">
        <v>78</v>
      </c>
      <c r="C66" s="702">
        <v>637001</v>
      </c>
      <c r="D66" s="67" t="s">
        <v>25</v>
      </c>
      <c r="E66" s="72">
        <v>0</v>
      </c>
    </row>
    <row r="67" spans="1:5" outlineLevel="2" x14ac:dyDescent="0.25">
      <c r="A67" s="701"/>
      <c r="B67" s="702"/>
      <c r="C67" s="702"/>
      <c r="D67" s="68" t="s">
        <v>26</v>
      </c>
      <c r="E67" s="72">
        <v>0</v>
      </c>
    </row>
    <row r="68" spans="1:5" outlineLevel="2" x14ac:dyDescent="0.25">
      <c r="A68" s="701"/>
      <c r="B68" s="702"/>
      <c r="C68" s="702"/>
      <c r="D68" s="68" t="s">
        <v>27</v>
      </c>
      <c r="E68" s="72">
        <v>0</v>
      </c>
    </row>
    <row r="69" spans="1:5" outlineLevel="2" x14ac:dyDescent="0.25">
      <c r="A69" s="701"/>
      <c r="B69" s="702"/>
      <c r="C69" s="702"/>
      <c r="D69" s="68" t="s">
        <v>28</v>
      </c>
      <c r="E69" s="72">
        <v>0</v>
      </c>
    </row>
    <row r="70" spans="1:5" outlineLevel="2" x14ac:dyDescent="0.25">
      <c r="A70" s="701"/>
      <c r="B70" s="702"/>
      <c r="C70" s="702"/>
      <c r="D70" s="68" t="s">
        <v>29</v>
      </c>
      <c r="E70" s="72">
        <v>0</v>
      </c>
    </row>
    <row r="71" spans="1:5" outlineLevel="2" x14ac:dyDescent="0.25">
      <c r="A71" s="701"/>
      <c r="B71" s="702"/>
      <c r="C71" s="702"/>
      <c r="D71" s="68" t="s">
        <v>30</v>
      </c>
      <c r="E71" s="72">
        <v>0</v>
      </c>
    </row>
    <row r="72" spans="1:5" outlineLevel="2" x14ac:dyDescent="0.25">
      <c r="A72" s="701"/>
      <c r="B72" s="702"/>
      <c r="C72" s="702"/>
      <c r="D72" s="68" t="s">
        <v>31</v>
      </c>
      <c r="E72" s="72">
        <v>0</v>
      </c>
    </row>
    <row r="73" spans="1:5" outlineLevel="2" x14ac:dyDescent="0.25">
      <c r="A73" s="701"/>
      <c r="B73" s="702"/>
      <c r="C73" s="702"/>
      <c r="D73" s="68" t="s">
        <v>32</v>
      </c>
      <c r="E73" s="72">
        <v>0</v>
      </c>
    </row>
    <row r="74" spans="1:5" outlineLevel="2" x14ac:dyDescent="0.25">
      <c r="A74" s="701"/>
      <c r="B74" s="702"/>
      <c r="C74" s="702"/>
      <c r="D74" s="68" t="s">
        <v>33</v>
      </c>
      <c r="E74" s="72">
        <v>0</v>
      </c>
    </row>
    <row r="75" spans="1:5" ht="15.75" outlineLevel="2" thickBot="1" x14ac:dyDescent="0.3">
      <c r="A75" s="701"/>
      <c r="B75" s="702"/>
      <c r="C75" s="702"/>
      <c r="D75" s="69" t="s">
        <v>34</v>
      </c>
      <c r="E75" s="73">
        <v>0</v>
      </c>
    </row>
  </sheetData>
  <mergeCells count="23">
    <mergeCell ref="A1:D1"/>
    <mergeCell ref="A3:C3"/>
    <mergeCell ref="A5:A14"/>
    <mergeCell ref="B5:B14"/>
    <mergeCell ref="C5:C14"/>
    <mergeCell ref="A15:A24"/>
    <mergeCell ref="B15:B24"/>
    <mergeCell ref="C15:C24"/>
    <mergeCell ref="A26:A35"/>
    <mergeCell ref="B26:B35"/>
    <mergeCell ref="C26:C35"/>
    <mergeCell ref="A36:A45"/>
    <mergeCell ref="B36:B45"/>
    <mergeCell ref="C36:C45"/>
    <mergeCell ref="A46:A55"/>
    <mergeCell ref="B46:B55"/>
    <mergeCell ref="C46:C55"/>
    <mergeCell ref="A56:A65"/>
    <mergeCell ref="B56:B65"/>
    <mergeCell ref="C56:C65"/>
    <mergeCell ref="A66:A75"/>
    <mergeCell ref="B66:B75"/>
    <mergeCell ref="C66:C75"/>
  </mergeCells>
  <phoneticPr fontId="74" type="noConversion"/>
  <pageMargins left="0.7" right="0.7" top="0.75" bottom="0.75" header="0.3" footer="0.3"/>
  <pageSetup paperSize="9" scale="6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  <outlinePr summaryBelow="0" summaryRight="0"/>
  </sheetPr>
  <dimension ref="A1:E53"/>
  <sheetViews>
    <sheetView view="pageBreakPreview" zoomScale="132" zoomScaleNormal="85" zoomScaleSheetLayoutView="132" workbookViewId="0">
      <selection activeCell="K23" sqref="K23"/>
    </sheetView>
  </sheetViews>
  <sheetFormatPr defaultColWidth="8.85546875" defaultRowHeight="15" outlineLevelRow="1" x14ac:dyDescent="0.25"/>
  <cols>
    <col min="1" max="1" width="22.42578125" customWidth="1"/>
    <col min="2" max="2" width="23.28515625" customWidth="1"/>
    <col min="3" max="3" width="22.42578125" customWidth="1"/>
    <col min="5" max="5" width="17.85546875" customWidth="1"/>
  </cols>
  <sheetData>
    <row r="1" spans="1:5" ht="25.35" customHeight="1" thickBot="1" x14ac:dyDescent="0.4">
      <c r="A1" s="703" t="s">
        <v>98</v>
      </c>
      <c r="B1" s="703"/>
      <c r="C1" s="703"/>
      <c r="D1" s="704"/>
      <c r="E1" s="70" t="s">
        <v>35</v>
      </c>
    </row>
    <row r="2" spans="1:5" ht="15.75" thickBot="1" x14ac:dyDescent="0.3">
      <c r="A2" s="40" t="s">
        <v>0</v>
      </c>
      <c r="B2" s="75" t="s">
        <v>75</v>
      </c>
      <c r="C2" s="75" t="s">
        <v>74</v>
      </c>
      <c r="D2" s="75" t="s">
        <v>23</v>
      </c>
      <c r="E2" s="17"/>
    </row>
    <row r="3" spans="1:5" ht="15.75" thickBot="1" x14ac:dyDescent="0.3">
      <c r="A3" s="707" t="s">
        <v>89</v>
      </c>
      <c r="B3" s="707"/>
      <c r="C3" s="707"/>
      <c r="D3" s="76"/>
      <c r="E3" s="77">
        <f>SUM(E4:E53)</f>
        <v>0</v>
      </c>
    </row>
    <row r="4" spans="1:5" outlineLevel="1" x14ac:dyDescent="0.25">
      <c r="A4" s="701" t="s">
        <v>94</v>
      </c>
      <c r="B4" s="702" t="s">
        <v>81</v>
      </c>
      <c r="C4" s="702">
        <v>635002</v>
      </c>
      <c r="D4" s="67" t="s">
        <v>25</v>
      </c>
      <c r="E4" s="71">
        <v>0</v>
      </c>
    </row>
    <row r="5" spans="1:5" outlineLevel="1" x14ac:dyDescent="0.25">
      <c r="A5" s="701"/>
      <c r="B5" s="702"/>
      <c r="C5" s="702"/>
      <c r="D5" s="68" t="s">
        <v>26</v>
      </c>
      <c r="E5" s="72">
        <v>0</v>
      </c>
    </row>
    <row r="6" spans="1:5" outlineLevel="1" x14ac:dyDescent="0.25">
      <c r="A6" s="701"/>
      <c r="B6" s="702"/>
      <c r="C6" s="702"/>
      <c r="D6" s="68" t="s">
        <v>27</v>
      </c>
      <c r="E6" s="72">
        <v>0</v>
      </c>
    </row>
    <row r="7" spans="1:5" outlineLevel="1" x14ac:dyDescent="0.25">
      <c r="A7" s="701"/>
      <c r="B7" s="702"/>
      <c r="C7" s="702"/>
      <c r="D7" s="68" t="s">
        <v>28</v>
      </c>
      <c r="E7" s="72">
        <v>0</v>
      </c>
    </row>
    <row r="8" spans="1:5" outlineLevel="1" x14ac:dyDescent="0.25">
      <c r="A8" s="701"/>
      <c r="B8" s="702"/>
      <c r="C8" s="702"/>
      <c r="D8" s="68" t="s">
        <v>29</v>
      </c>
      <c r="E8" s="72">
        <v>0</v>
      </c>
    </row>
    <row r="9" spans="1:5" outlineLevel="1" x14ac:dyDescent="0.25">
      <c r="A9" s="701"/>
      <c r="B9" s="702"/>
      <c r="C9" s="702"/>
      <c r="D9" s="68" t="s">
        <v>30</v>
      </c>
      <c r="E9" s="72">
        <v>0</v>
      </c>
    </row>
    <row r="10" spans="1:5" outlineLevel="1" x14ac:dyDescent="0.25">
      <c r="A10" s="701"/>
      <c r="B10" s="702"/>
      <c r="C10" s="702"/>
      <c r="D10" s="68" t="s">
        <v>31</v>
      </c>
      <c r="E10" s="72">
        <v>0</v>
      </c>
    </row>
    <row r="11" spans="1:5" outlineLevel="1" x14ac:dyDescent="0.25">
      <c r="A11" s="701"/>
      <c r="B11" s="702"/>
      <c r="C11" s="702"/>
      <c r="D11" s="68" t="s">
        <v>32</v>
      </c>
      <c r="E11" s="72">
        <v>0</v>
      </c>
    </row>
    <row r="12" spans="1:5" outlineLevel="1" x14ac:dyDescent="0.25">
      <c r="A12" s="701"/>
      <c r="B12" s="702"/>
      <c r="C12" s="702"/>
      <c r="D12" s="68" t="s">
        <v>33</v>
      </c>
      <c r="E12" s="72">
        <v>0</v>
      </c>
    </row>
    <row r="13" spans="1:5" ht="15.75" outlineLevel="1" thickBot="1" x14ac:dyDescent="0.3">
      <c r="A13" s="701"/>
      <c r="B13" s="702"/>
      <c r="C13" s="702"/>
      <c r="D13" s="69" t="s">
        <v>34</v>
      </c>
      <c r="E13" s="73">
        <v>0</v>
      </c>
    </row>
    <row r="14" spans="1:5" outlineLevel="1" x14ac:dyDescent="0.25">
      <c r="A14" s="701" t="s">
        <v>95</v>
      </c>
      <c r="B14" s="701" t="s">
        <v>93</v>
      </c>
      <c r="C14" s="702">
        <v>718002</v>
      </c>
      <c r="D14" s="67" t="s">
        <v>25</v>
      </c>
      <c r="E14" s="72">
        <v>0</v>
      </c>
    </row>
    <row r="15" spans="1:5" outlineLevel="1" x14ac:dyDescent="0.25">
      <c r="A15" s="701"/>
      <c r="B15" s="702"/>
      <c r="C15" s="702"/>
      <c r="D15" s="68" t="s">
        <v>26</v>
      </c>
      <c r="E15" s="72">
        <v>0</v>
      </c>
    </row>
    <row r="16" spans="1:5" outlineLevel="1" x14ac:dyDescent="0.25">
      <c r="A16" s="701"/>
      <c r="B16" s="702"/>
      <c r="C16" s="702"/>
      <c r="D16" s="68" t="s">
        <v>27</v>
      </c>
      <c r="E16" s="72">
        <v>0</v>
      </c>
    </row>
    <row r="17" spans="1:5" outlineLevel="1" x14ac:dyDescent="0.25">
      <c r="A17" s="701"/>
      <c r="B17" s="702"/>
      <c r="C17" s="702"/>
      <c r="D17" s="68" t="s">
        <v>28</v>
      </c>
      <c r="E17" s="72">
        <v>0</v>
      </c>
    </row>
    <row r="18" spans="1:5" outlineLevel="1" x14ac:dyDescent="0.25">
      <c r="A18" s="701"/>
      <c r="B18" s="702"/>
      <c r="C18" s="702"/>
      <c r="D18" s="68" t="s">
        <v>29</v>
      </c>
      <c r="E18" s="72">
        <v>0</v>
      </c>
    </row>
    <row r="19" spans="1:5" outlineLevel="1" x14ac:dyDescent="0.25">
      <c r="A19" s="701"/>
      <c r="B19" s="702"/>
      <c r="C19" s="702"/>
      <c r="D19" s="68" t="s">
        <v>30</v>
      </c>
      <c r="E19" s="72">
        <v>0</v>
      </c>
    </row>
    <row r="20" spans="1:5" outlineLevel="1" x14ac:dyDescent="0.25">
      <c r="A20" s="701"/>
      <c r="B20" s="702"/>
      <c r="C20" s="702"/>
      <c r="D20" s="68" t="s">
        <v>31</v>
      </c>
      <c r="E20" s="72">
        <v>0</v>
      </c>
    </row>
    <row r="21" spans="1:5" outlineLevel="1" x14ac:dyDescent="0.25">
      <c r="A21" s="701"/>
      <c r="B21" s="702"/>
      <c r="C21" s="702"/>
      <c r="D21" s="68" t="s">
        <v>32</v>
      </c>
      <c r="E21" s="72">
        <v>0</v>
      </c>
    </row>
    <row r="22" spans="1:5" outlineLevel="1" x14ac:dyDescent="0.25">
      <c r="A22" s="701"/>
      <c r="B22" s="702"/>
      <c r="C22" s="702"/>
      <c r="D22" s="68" t="s">
        <v>33</v>
      </c>
      <c r="E22" s="72">
        <v>0</v>
      </c>
    </row>
    <row r="23" spans="1:5" ht="15.75" outlineLevel="1" thickBot="1" x14ac:dyDescent="0.3">
      <c r="A23" s="701"/>
      <c r="B23" s="702"/>
      <c r="C23" s="702"/>
      <c r="D23" s="69" t="s">
        <v>34</v>
      </c>
      <c r="E23" s="73">
        <v>0</v>
      </c>
    </row>
    <row r="24" spans="1:5" outlineLevel="1" x14ac:dyDescent="0.25">
      <c r="A24" s="701" t="s">
        <v>96</v>
      </c>
      <c r="B24" s="702"/>
      <c r="C24" s="702"/>
      <c r="D24" s="67" t="s">
        <v>25</v>
      </c>
      <c r="E24" s="72">
        <v>0</v>
      </c>
    </row>
    <row r="25" spans="1:5" outlineLevel="1" x14ac:dyDescent="0.25">
      <c r="A25" s="701"/>
      <c r="B25" s="702"/>
      <c r="C25" s="702"/>
      <c r="D25" s="68" t="s">
        <v>26</v>
      </c>
      <c r="E25" s="72">
        <v>0</v>
      </c>
    </row>
    <row r="26" spans="1:5" outlineLevel="1" x14ac:dyDescent="0.25">
      <c r="A26" s="701"/>
      <c r="B26" s="702"/>
      <c r="C26" s="702"/>
      <c r="D26" s="68" t="s">
        <v>27</v>
      </c>
      <c r="E26" s="72">
        <v>0</v>
      </c>
    </row>
    <row r="27" spans="1:5" outlineLevel="1" x14ac:dyDescent="0.25">
      <c r="A27" s="701"/>
      <c r="B27" s="702"/>
      <c r="C27" s="702"/>
      <c r="D27" s="68" t="s">
        <v>28</v>
      </c>
      <c r="E27" s="72">
        <v>0</v>
      </c>
    </row>
    <row r="28" spans="1:5" outlineLevel="1" x14ac:dyDescent="0.25">
      <c r="A28" s="701"/>
      <c r="B28" s="702"/>
      <c r="C28" s="702"/>
      <c r="D28" s="68" t="s">
        <v>29</v>
      </c>
      <c r="E28" s="72">
        <v>0</v>
      </c>
    </row>
    <row r="29" spans="1:5" outlineLevel="1" x14ac:dyDescent="0.25">
      <c r="A29" s="701"/>
      <c r="B29" s="702"/>
      <c r="C29" s="702"/>
      <c r="D29" s="68" t="s">
        <v>30</v>
      </c>
      <c r="E29" s="72">
        <v>0</v>
      </c>
    </row>
    <row r="30" spans="1:5" outlineLevel="1" x14ac:dyDescent="0.25">
      <c r="A30" s="701"/>
      <c r="B30" s="702"/>
      <c r="C30" s="702"/>
      <c r="D30" s="68" t="s">
        <v>31</v>
      </c>
      <c r="E30" s="72">
        <v>0</v>
      </c>
    </row>
    <row r="31" spans="1:5" outlineLevel="1" x14ac:dyDescent="0.25">
      <c r="A31" s="701"/>
      <c r="B31" s="702"/>
      <c r="C31" s="702"/>
      <c r="D31" s="68" t="s">
        <v>32</v>
      </c>
      <c r="E31" s="72">
        <v>0</v>
      </c>
    </row>
    <row r="32" spans="1:5" outlineLevel="1" x14ac:dyDescent="0.25">
      <c r="A32" s="701"/>
      <c r="B32" s="702"/>
      <c r="C32" s="702"/>
      <c r="D32" s="68" t="s">
        <v>33</v>
      </c>
      <c r="E32" s="72">
        <v>0</v>
      </c>
    </row>
    <row r="33" spans="1:5" ht="15.75" outlineLevel="1" thickBot="1" x14ac:dyDescent="0.3">
      <c r="A33" s="701"/>
      <c r="B33" s="702"/>
      <c r="C33" s="702"/>
      <c r="D33" s="69" t="s">
        <v>34</v>
      </c>
      <c r="E33" s="73">
        <v>0</v>
      </c>
    </row>
    <row r="34" spans="1:5" outlineLevel="1" x14ac:dyDescent="0.25">
      <c r="A34" s="701" t="s">
        <v>97</v>
      </c>
      <c r="B34" s="702"/>
      <c r="C34" s="702"/>
      <c r="D34" s="67" t="s">
        <v>25</v>
      </c>
      <c r="E34" s="72">
        <v>0</v>
      </c>
    </row>
    <row r="35" spans="1:5" outlineLevel="1" x14ac:dyDescent="0.25">
      <c r="A35" s="701"/>
      <c r="B35" s="702"/>
      <c r="C35" s="702"/>
      <c r="D35" s="68" t="s">
        <v>26</v>
      </c>
      <c r="E35" s="72">
        <v>0</v>
      </c>
    </row>
    <row r="36" spans="1:5" outlineLevel="1" x14ac:dyDescent="0.25">
      <c r="A36" s="701"/>
      <c r="B36" s="702"/>
      <c r="C36" s="702"/>
      <c r="D36" s="68" t="s">
        <v>27</v>
      </c>
      <c r="E36" s="72">
        <v>0</v>
      </c>
    </row>
    <row r="37" spans="1:5" outlineLevel="1" x14ac:dyDescent="0.25">
      <c r="A37" s="701"/>
      <c r="B37" s="702"/>
      <c r="C37" s="702"/>
      <c r="D37" s="68" t="s">
        <v>28</v>
      </c>
      <c r="E37" s="72">
        <v>0</v>
      </c>
    </row>
    <row r="38" spans="1:5" outlineLevel="1" x14ac:dyDescent="0.25">
      <c r="A38" s="701"/>
      <c r="B38" s="702"/>
      <c r="C38" s="702"/>
      <c r="D38" s="68" t="s">
        <v>29</v>
      </c>
      <c r="E38" s="72">
        <v>0</v>
      </c>
    </row>
    <row r="39" spans="1:5" outlineLevel="1" x14ac:dyDescent="0.25">
      <c r="A39" s="701"/>
      <c r="B39" s="702"/>
      <c r="C39" s="702"/>
      <c r="D39" s="68" t="s">
        <v>30</v>
      </c>
      <c r="E39" s="72">
        <v>0</v>
      </c>
    </row>
    <row r="40" spans="1:5" outlineLevel="1" x14ac:dyDescent="0.25">
      <c r="A40" s="701"/>
      <c r="B40" s="702"/>
      <c r="C40" s="702"/>
      <c r="D40" s="68" t="s">
        <v>31</v>
      </c>
      <c r="E40" s="72">
        <v>0</v>
      </c>
    </row>
    <row r="41" spans="1:5" outlineLevel="1" x14ac:dyDescent="0.25">
      <c r="A41" s="701"/>
      <c r="B41" s="702"/>
      <c r="C41" s="702"/>
      <c r="D41" s="68" t="s">
        <v>32</v>
      </c>
      <c r="E41" s="72">
        <v>0</v>
      </c>
    </row>
    <row r="42" spans="1:5" outlineLevel="1" x14ac:dyDescent="0.25">
      <c r="A42" s="701"/>
      <c r="B42" s="702"/>
      <c r="C42" s="702"/>
      <c r="D42" s="68" t="s">
        <v>33</v>
      </c>
      <c r="E42" s="72">
        <v>0</v>
      </c>
    </row>
    <row r="43" spans="1:5" ht="15.75" outlineLevel="1" thickBot="1" x14ac:dyDescent="0.3">
      <c r="A43" s="701"/>
      <c r="B43" s="702"/>
      <c r="C43" s="702"/>
      <c r="D43" s="69" t="s">
        <v>34</v>
      </c>
      <c r="E43" s="73">
        <v>0</v>
      </c>
    </row>
    <row r="44" spans="1:5" outlineLevel="1" x14ac:dyDescent="0.25">
      <c r="A44" s="701" t="s">
        <v>92</v>
      </c>
      <c r="B44" s="702" t="s">
        <v>78</v>
      </c>
      <c r="C44" s="702">
        <v>637001</v>
      </c>
      <c r="D44" s="67" t="s">
        <v>25</v>
      </c>
      <c r="E44" s="72">
        <v>0</v>
      </c>
    </row>
    <row r="45" spans="1:5" outlineLevel="1" x14ac:dyDescent="0.25">
      <c r="A45" s="701"/>
      <c r="B45" s="702"/>
      <c r="C45" s="702"/>
      <c r="D45" s="68" t="s">
        <v>26</v>
      </c>
      <c r="E45" s="72">
        <v>0</v>
      </c>
    </row>
    <row r="46" spans="1:5" outlineLevel="1" x14ac:dyDescent="0.25">
      <c r="A46" s="701"/>
      <c r="B46" s="702"/>
      <c r="C46" s="702"/>
      <c r="D46" s="68" t="s">
        <v>27</v>
      </c>
      <c r="E46" s="72">
        <v>0</v>
      </c>
    </row>
    <row r="47" spans="1:5" outlineLevel="1" x14ac:dyDescent="0.25">
      <c r="A47" s="701"/>
      <c r="B47" s="702"/>
      <c r="C47" s="702"/>
      <c r="D47" s="68" t="s">
        <v>28</v>
      </c>
      <c r="E47" s="72">
        <v>0</v>
      </c>
    </row>
    <row r="48" spans="1:5" outlineLevel="1" x14ac:dyDescent="0.25">
      <c r="A48" s="701"/>
      <c r="B48" s="702"/>
      <c r="C48" s="702"/>
      <c r="D48" s="68" t="s">
        <v>29</v>
      </c>
      <c r="E48" s="72">
        <v>0</v>
      </c>
    </row>
    <row r="49" spans="1:5" outlineLevel="1" x14ac:dyDescent="0.25">
      <c r="A49" s="701"/>
      <c r="B49" s="702"/>
      <c r="C49" s="702"/>
      <c r="D49" s="68" t="s">
        <v>30</v>
      </c>
      <c r="E49" s="72">
        <v>0</v>
      </c>
    </row>
    <row r="50" spans="1:5" outlineLevel="1" x14ac:dyDescent="0.25">
      <c r="A50" s="701"/>
      <c r="B50" s="702"/>
      <c r="C50" s="702"/>
      <c r="D50" s="68" t="s">
        <v>31</v>
      </c>
      <c r="E50" s="72">
        <v>0</v>
      </c>
    </row>
    <row r="51" spans="1:5" outlineLevel="1" x14ac:dyDescent="0.25">
      <c r="A51" s="701"/>
      <c r="B51" s="702"/>
      <c r="C51" s="702"/>
      <c r="D51" s="68" t="s">
        <v>32</v>
      </c>
      <c r="E51" s="72">
        <v>0</v>
      </c>
    </row>
    <row r="52" spans="1:5" outlineLevel="1" x14ac:dyDescent="0.25">
      <c r="A52" s="701"/>
      <c r="B52" s="702"/>
      <c r="C52" s="702"/>
      <c r="D52" s="68" t="s">
        <v>33</v>
      </c>
      <c r="E52" s="72">
        <v>0</v>
      </c>
    </row>
    <row r="53" spans="1:5" ht="15.75" outlineLevel="1" thickBot="1" x14ac:dyDescent="0.3">
      <c r="A53" s="701"/>
      <c r="B53" s="702"/>
      <c r="C53" s="702"/>
      <c r="D53" s="69" t="s">
        <v>34</v>
      </c>
      <c r="E53" s="73">
        <v>0</v>
      </c>
    </row>
  </sheetData>
  <mergeCells count="17">
    <mergeCell ref="A1:D1"/>
    <mergeCell ref="A3:C3"/>
    <mergeCell ref="A4:A13"/>
    <mergeCell ref="B4:B13"/>
    <mergeCell ref="C4:C13"/>
    <mergeCell ref="A14:A23"/>
    <mergeCell ref="B14:B23"/>
    <mergeCell ref="C14:C23"/>
    <mergeCell ref="A24:A33"/>
    <mergeCell ref="B24:B33"/>
    <mergeCell ref="C24:C33"/>
    <mergeCell ref="A34:A43"/>
    <mergeCell ref="B34:B43"/>
    <mergeCell ref="C34:C43"/>
    <mergeCell ref="A44:A53"/>
    <mergeCell ref="B44:B53"/>
    <mergeCell ref="C44:C53"/>
  </mergeCells>
  <phoneticPr fontId="74" type="noConversion"/>
  <pageMargins left="0.7" right="0.7" top="0.75" bottom="0.75" header="0.3" footer="0.3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  <outlinePr summaryBelow="0" summaryRight="0"/>
  </sheetPr>
  <dimension ref="A1:H170"/>
  <sheetViews>
    <sheetView view="pageBreakPreview" topLeftCell="A140" zoomScale="130" zoomScaleNormal="85" zoomScaleSheetLayoutView="130" workbookViewId="0">
      <selection activeCell="F133" sqref="F133"/>
    </sheetView>
  </sheetViews>
  <sheetFormatPr defaultColWidth="8.85546875" defaultRowHeight="15" outlineLevelRow="2" outlineLevelCol="1" x14ac:dyDescent="0.25"/>
  <cols>
    <col min="1" max="1" width="22.42578125" customWidth="1"/>
    <col min="2" max="2" width="23.28515625" customWidth="1"/>
    <col min="3" max="3" width="22.42578125" customWidth="1"/>
    <col min="5" max="5" width="17.85546875" customWidth="1"/>
    <col min="6" max="6" width="19.28515625" customWidth="1" outlineLevel="1"/>
  </cols>
  <sheetData>
    <row r="1" spans="1:6" ht="35.25" customHeight="1" thickBot="1" x14ac:dyDescent="0.4">
      <c r="A1" s="703" t="s">
        <v>99</v>
      </c>
      <c r="B1" s="703"/>
      <c r="C1" s="703"/>
      <c r="D1" s="704"/>
      <c r="E1" s="70" t="s">
        <v>35</v>
      </c>
      <c r="F1" s="315" t="s">
        <v>390</v>
      </c>
    </row>
    <row r="2" spans="1:6" ht="15.75" thickBot="1" x14ac:dyDescent="0.3">
      <c r="A2" s="40" t="s">
        <v>0</v>
      </c>
      <c r="B2" s="75" t="s">
        <v>75</v>
      </c>
      <c r="C2" s="75" t="s">
        <v>74</v>
      </c>
      <c r="D2" s="75" t="s">
        <v>23</v>
      </c>
      <c r="E2" s="17"/>
      <c r="F2" s="17"/>
    </row>
    <row r="3" spans="1:6" ht="15.75" thickBot="1" x14ac:dyDescent="0.3">
      <c r="A3" s="708" t="s">
        <v>119</v>
      </c>
      <c r="B3" s="709"/>
      <c r="C3" s="709"/>
      <c r="D3" s="79"/>
      <c r="E3" s="77">
        <f t="shared" ref="E3:F3" si="0">E4+E25</f>
        <v>1008000</v>
      </c>
      <c r="F3" s="78">
        <f t="shared" si="0"/>
        <v>1008000</v>
      </c>
    </row>
    <row r="4" spans="1:6" ht="15.75" outlineLevel="1" thickBot="1" x14ac:dyDescent="0.3">
      <c r="A4" s="17" t="s">
        <v>106</v>
      </c>
      <c r="B4" s="17"/>
      <c r="C4" s="17"/>
      <c r="D4" s="28"/>
      <c r="E4" s="77">
        <f t="shared" ref="E4:F4" si="1">SUM(E5:E24)</f>
        <v>1008000</v>
      </c>
      <c r="F4" s="78">
        <f t="shared" si="1"/>
        <v>1008000</v>
      </c>
    </row>
    <row r="5" spans="1:6" outlineLevel="2" x14ac:dyDescent="0.25">
      <c r="A5" s="701" t="s">
        <v>72</v>
      </c>
      <c r="B5" s="702" t="s">
        <v>73</v>
      </c>
      <c r="C5" s="702">
        <v>711003</v>
      </c>
      <c r="D5" s="67" t="s">
        <v>25</v>
      </c>
      <c r="E5" s="72">
        <f t="shared" ref="E5:E24" si="2">SUM(F5:F5)</f>
        <v>960000</v>
      </c>
      <c r="F5" s="121">
        <f>800000*1.2</f>
        <v>960000</v>
      </c>
    </row>
    <row r="6" spans="1:6" outlineLevel="2" x14ac:dyDescent="0.25">
      <c r="A6" s="701"/>
      <c r="B6" s="702"/>
      <c r="C6" s="702"/>
      <c r="D6" s="68" t="s">
        <v>26</v>
      </c>
      <c r="E6" s="72">
        <f t="shared" si="2"/>
        <v>0</v>
      </c>
      <c r="F6" s="122">
        <v>0</v>
      </c>
    </row>
    <row r="7" spans="1:6" outlineLevel="2" x14ac:dyDescent="0.25">
      <c r="A7" s="701"/>
      <c r="B7" s="702"/>
      <c r="C7" s="702"/>
      <c r="D7" s="68" t="s">
        <v>27</v>
      </c>
      <c r="E7" s="65">
        <f t="shared" si="2"/>
        <v>0</v>
      </c>
      <c r="F7" s="122">
        <v>0</v>
      </c>
    </row>
    <row r="8" spans="1:6" outlineLevel="2" x14ac:dyDescent="0.25">
      <c r="A8" s="701"/>
      <c r="B8" s="702"/>
      <c r="C8" s="702"/>
      <c r="D8" s="68" t="s">
        <v>28</v>
      </c>
      <c r="E8" s="65">
        <f t="shared" si="2"/>
        <v>0</v>
      </c>
      <c r="F8" s="122">
        <v>0</v>
      </c>
    </row>
    <row r="9" spans="1:6" outlineLevel="2" x14ac:dyDescent="0.25">
      <c r="A9" s="701"/>
      <c r="B9" s="702"/>
      <c r="C9" s="702"/>
      <c r="D9" s="68" t="s">
        <v>29</v>
      </c>
      <c r="E9" s="65">
        <f t="shared" si="2"/>
        <v>0</v>
      </c>
      <c r="F9" s="122">
        <v>0</v>
      </c>
    </row>
    <row r="10" spans="1:6" outlineLevel="2" x14ac:dyDescent="0.25">
      <c r="A10" s="701"/>
      <c r="B10" s="702"/>
      <c r="C10" s="702"/>
      <c r="D10" s="68" t="s">
        <v>30</v>
      </c>
      <c r="E10" s="65">
        <f t="shared" si="2"/>
        <v>0</v>
      </c>
      <c r="F10" s="122">
        <v>0</v>
      </c>
    </row>
    <row r="11" spans="1:6" outlineLevel="2" x14ac:dyDescent="0.25">
      <c r="A11" s="701"/>
      <c r="B11" s="702"/>
      <c r="C11" s="702"/>
      <c r="D11" s="68" t="s">
        <v>31</v>
      </c>
      <c r="E11" s="65">
        <f t="shared" si="2"/>
        <v>0</v>
      </c>
      <c r="F11" s="122">
        <v>0</v>
      </c>
    </row>
    <row r="12" spans="1:6" outlineLevel="2" x14ac:dyDescent="0.25">
      <c r="A12" s="701"/>
      <c r="B12" s="702"/>
      <c r="C12" s="702"/>
      <c r="D12" s="68" t="s">
        <v>32</v>
      </c>
      <c r="E12" s="65">
        <f t="shared" si="2"/>
        <v>0</v>
      </c>
      <c r="F12" s="122">
        <v>0</v>
      </c>
    </row>
    <row r="13" spans="1:6" outlineLevel="2" x14ac:dyDescent="0.25">
      <c r="A13" s="701"/>
      <c r="B13" s="702"/>
      <c r="C13" s="702"/>
      <c r="D13" s="68" t="s">
        <v>33</v>
      </c>
      <c r="E13" s="65">
        <f t="shared" si="2"/>
        <v>0</v>
      </c>
      <c r="F13" s="122">
        <v>0</v>
      </c>
    </row>
    <row r="14" spans="1:6" ht="15.75" outlineLevel="2" thickBot="1" x14ac:dyDescent="0.3">
      <c r="A14" s="701"/>
      <c r="B14" s="702"/>
      <c r="C14" s="702"/>
      <c r="D14" s="69" t="s">
        <v>34</v>
      </c>
      <c r="E14" s="65">
        <f t="shared" si="2"/>
        <v>0</v>
      </c>
      <c r="F14" s="123">
        <v>0</v>
      </c>
    </row>
    <row r="15" spans="1:6" outlineLevel="2" x14ac:dyDescent="0.25">
      <c r="A15" s="701" t="s">
        <v>72</v>
      </c>
      <c r="B15" s="702" t="s">
        <v>78</v>
      </c>
      <c r="C15" s="702">
        <v>633013</v>
      </c>
      <c r="D15" s="67" t="s">
        <v>25</v>
      </c>
      <c r="E15" s="64">
        <f t="shared" si="2"/>
        <v>48000</v>
      </c>
      <c r="F15" s="121">
        <f>40000*1.2</f>
        <v>48000</v>
      </c>
    </row>
    <row r="16" spans="1:6" outlineLevel="2" x14ac:dyDescent="0.25">
      <c r="A16" s="701"/>
      <c r="B16" s="702"/>
      <c r="C16" s="702"/>
      <c r="D16" s="68" t="s">
        <v>26</v>
      </c>
      <c r="E16" s="65">
        <f t="shared" si="2"/>
        <v>0</v>
      </c>
      <c r="F16" s="122">
        <v>0</v>
      </c>
    </row>
    <row r="17" spans="1:6" outlineLevel="2" x14ac:dyDescent="0.25">
      <c r="A17" s="701"/>
      <c r="B17" s="702"/>
      <c r="C17" s="702"/>
      <c r="D17" s="68" t="s">
        <v>27</v>
      </c>
      <c r="E17" s="65">
        <f t="shared" si="2"/>
        <v>0</v>
      </c>
      <c r="F17" s="122">
        <v>0</v>
      </c>
    </row>
    <row r="18" spans="1:6" outlineLevel="2" x14ac:dyDescent="0.25">
      <c r="A18" s="701"/>
      <c r="B18" s="702"/>
      <c r="C18" s="702"/>
      <c r="D18" s="68" t="s">
        <v>28</v>
      </c>
      <c r="E18" s="65">
        <f t="shared" si="2"/>
        <v>0</v>
      </c>
      <c r="F18" s="122">
        <v>0</v>
      </c>
    </row>
    <row r="19" spans="1:6" outlineLevel="2" x14ac:dyDescent="0.25">
      <c r="A19" s="701"/>
      <c r="B19" s="702"/>
      <c r="C19" s="702"/>
      <c r="D19" s="68" t="s">
        <v>29</v>
      </c>
      <c r="E19" s="65">
        <f t="shared" si="2"/>
        <v>0</v>
      </c>
      <c r="F19" s="122">
        <v>0</v>
      </c>
    </row>
    <row r="20" spans="1:6" outlineLevel="2" x14ac:dyDescent="0.25">
      <c r="A20" s="701"/>
      <c r="B20" s="702"/>
      <c r="C20" s="702"/>
      <c r="D20" s="68" t="s">
        <v>30</v>
      </c>
      <c r="E20" s="65">
        <f t="shared" si="2"/>
        <v>0</v>
      </c>
      <c r="F20" s="122">
        <v>0</v>
      </c>
    </row>
    <row r="21" spans="1:6" outlineLevel="2" x14ac:dyDescent="0.25">
      <c r="A21" s="701"/>
      <c r="B21" s="702"/>
      <c r="C21" s="702"/>
      <c r="D21" s="68" t="s">
        <v>31</v>
      </c>
      <c r="E21" s="65">
        <f t="shared" si="2"/>
        <v>0</v>
      </c>
      <c r="F21" s="122">
        <v>0</v>
      </c>
    </row>
    <row r="22" spans="1:6" outlineLevel="2" x14ac:dyDescent="0.25">
      <c r="A22" s="701"/>
      <c r="B22" s="702"/>
      <c r="C22" s="702"/>
      <c r="D22" s="68" t="s">
        <v>32</v>
      </c>
      <c r="E22" s="65">
        <f t="shared" si="2"/>
        <v>0</v>
      </c>
      <c r="F22" s="122">
        <v>0</v>
      </c>
    </row>
    <row r="23" spans="1:6" outlineLevel="2" x14ac:dyDescent="0.25">
      <c r="A23" s="701"/>
      <c r="B23" s="702"/>
      <c r="C23" s="702"/>
      <c r="D23" s="68" t="s">
        <v>33</v>
      </c>
      <c r="E23" s="65">
        <f t="shared" si="2"/>
        <v>0</v>
      </c>
      <c r="F23" s="122">
        <v>0</v>
      </c>
    </row>
    <row r="24" spans="1:6" ht="15.75" outlineLevel="2" thickBot="1" x14ac:dyDescent="0.3">
      <c r="A24" s="701"/>
      <c r="B24" s="702"/>
      <c r="C24" s="702"/>
      <c r="D24" s="69" t="s">
        <v>34</v>
      </c>
      <c r="E24" s="66">
        <f t="shared" si="2"/>
        <v>0</v>
      </c>
      <c r="F24" s="123">
        <v>0</v>
      </c>
    </row>
    <row r="25" spans="1:6" ht="15.75" outlineLevel="1" thickBot="1" x14ac:dyDescent="0.3">
      <c r="A25" s="17" t="s">
        <v>107</v>
      </c>
      <c r="B25" s="17"/>
      <c r="C25" s="17"/>
      <c r="D25" s="28"/>
      <c r="E25" s="128">
        <f t="shared" ref="E25:F25" si="3">SUM(E26:E55)</f>
        <v>0</v>
      </c>
      <c r="F25" s="129">
        <f t="shared" si="3"/>
        <v>0</v>
      </c>
    </row>
    <row r="26" spans="1:6" outlineLevel="2" x14ac:dyDescent="0.25">
      <c r="A26" s="701" t="s">
        <v>76</v>
      </c>
      <c r="B26" s="702" t="s">
        <v>73</v>
      </c>
      <c r="C26" s="702">
        <v>711003</v>
      </c>
      <c r="D26" s="67" t="s">
        <v>25</v>
      </c>
      <c r="E26" s="72">
        <f t="shared" ref="E26:E55" si="4">SUM(F26:F26)</f>
        <v>0</v>
      </c>
      <c r="F26" s="118">
        <v>0</v>
      </c>
    </row>
    <row r="27" spans="1:6" outlineLevel="2" x14ac:dyDescent="0.25">
      <c r="A27" s="701"/>
      <c r="B27" s="702"/>
      <c r="C27" s="702"/>
      <c r="D27" s="68" t="s">
        <v>26</v>
      </c>
      <c r="E27" s="72">
        <f t="shared" si="4"/>
        <v>0</v>
      </c>
      <c r="F27" s="119">
        <v>0</v>
      </c>
    </row>
    <row r="28" spans="1:6" outlineLevel="2" x14ac:dyDescent="0.25">
      <c r="A28" s="701"/>
      <c r="B28" s="702"/>
      <c r="C28" s="702"/>
      <c r="D28" s="68" t="s">
        <v>27</v>
      </c>
      <c r="E28" s="72">
        <f t="shared" si="4"/>
        <v>0</v>
      </c>
      <c r="F28" s="119">
        <v>0</v>
      </c>
    </row>
    <row r="29" spans="1:6" outlineLevel="2" x14ac:dyDescent="0.25">
      <c r="A29" s="701"/>
      <c r="B29" s="702"/>
      <c r="C29" s="702"/>
      <c r="D29" s="68" t="s">
        <v>28</v>
      </c>
      <c r="E29" s="72">
        <f t="shared" si="4"/>
        <v>0</v>
      </c>
      <c r="F29" s="119">
        <v>0</v>
      </c>
    </row>
    <row r="30" spans="1:6" outlineLevel="2" x14ac:dyDescent="0.25">
      <c r="A30" s="701"/>
      <c r="B30" s="702"/>
      <c r="C30" s="702"/>
      <c r="D30" s="68" t="s">
        <v>29</v>
      </c>
      <c r="E30" s="72">
        <f t="shared" si="4"/>
        <v>0</v>
      </c>
      <c r="F30" s="119">
        <v>0</v>
      </c>
    </row>
    <row r="31" spans="1:6" outlineLevel="2" x14ac:dyDescent="0.25">
      <c r="A31" s="701"/>
      <c r="B31" s="702"/>
      <c r="C31" s="702"/>
      <c r="D31" s="68" t="s">
        <v>30</v>
      </c>
      <c r="E31" s="72">
        <f t="shared" si="4"/>
        <v>0</v>
      </c>
      <c r="F31" s="119">
        <v>0</v>
      </c>
    </row>
    <row r="32" spans="1:6" outlineLevel="2" x14ac:dyDescent="0.25">
      <c r="A32" s="701"/>
      <c r="B32" s="702"/>
      <c r="C32" s="702"/>
      <c r="D32" s="68" t="s">
        <v>31</v>
      </c>
      <c r="E32" s="72">
        <f t="shared" si="4"/>
        <v>0</v>
      </c>
      <c r="F32" s="119">
        <v>0</v>
      </c>
    </row>
    <row r="33" spans="1:6" outlineLevel="2" x14ac:dyDescent="0.25">
      <c r="A33" s="701"/>
      <c r="B33" s="702"/>
      <c r="C33" s="702"/>
      <c r="D33" s="68" t="s">
        <v>32</v>
      </c>
      <c r="E33" s="72">
        <f t="shared" si="4"/>
        <v>0</v>
      </c>
      <c r="F33" s="119">
        <v>0</v>
      </c>
    </row>
    <row r="34" spans="1:6" outlineLevel="2" x14ac:dyDescent="0.25">
      <c r="A34" s="701"/>
      <c r="B34" s="702"/>
      <c r="C34" s="702"/>
      <c r="D34" s="68" t="s">
        <v>33</v>
      </c>
      <c r="E34" s="72">
        <f t="shared" si="4"/>
        <v>0</v>
      </c>
      <c r="F34" s="119">
        <v>0</v>
      </c>
    </row>
    <row r="35" spans="1:6" ht="15.75" outlineLevel="2" thickBot="1" x14ac:dyDescent="0.3">
      <c r="A35" s="701"/>
      <c r="B35" s="702"/>
      <c r="C35" s="702"/>
      <c r="D35" s="69" t="s">
        <v>34</v>
      </c>
      <c r="E35" s="73">
        <f t="shared" si="4"/>
        <v>0</v>
      </c>
      <c r="F35" s="120">
        <v>0</v>
      </c>
    </row>
    <row r="36" spans="1:6" outlineLevel="2" x14ac:dyDescent="0.25">
      <c r="A36" s="701" t="s">
        <v>76</v>
      </c>
      <c r="B36" s="702" t="s">
        <v>78</v>
      </c>
      <c r="C36" s="702">
        <v>633013</v>
      </c>
      <c r="D36" s="67" t="s">
        <v>25</v>
      </c>
      <c r="E36" s="72">
        <f t="shared" si="4"/>
        <v>0</v>
      </c>
      <c r="F36" s="118">
        <v>0</v>
      </c>
    </row>
    <row r="37" spans="1:6" outlineLevel="2" x14ac:dyDescent="0.25">
      <c r="A37" s="701"/>
      <c r="B37" s="702"/>
      <c r="C37" s="702"/>
      <c r="D37" s="68" t="s">
        <v>26</v>
      </c>
      <c r="E37" s="72">
        <f t="shared" si="4"/>
        <v>0</v>
      </c>
      <c r="F37" s="119">
        <v>0</v>
      </c>
    </row>
    <row r="38" spans="1:6" outlineLevel="2" x14ac:dyDescent="0.25">
      <c r="A38" s="701"/>
      <c r="B38" s="702"/>
      <c r="C38" s="702"/>
      <c r="D38" s="68" t="s">
        <v>27</v>
      </c>
      <c r="E38" s="72">
        <f t="shared" si="4"/>
        <v>0</v>
      </c>
      <c r="F38" s="119">
        <v>0</v>
      </c>
    </row>
    <row r="39" spans="1:6" outlineLevel="2" x14ac:dyDescent="0.25">
      <c r="A39" s="701"/>
      <c r="B39" s="702"/>
      <c r="C39" s="702"/>
      <c r="D39" s="68" t="s">
        <v>28</v>
      </c>
      <c r="E39" s="72">
        <f t="shared" si="4"/>
        <v>0</v>
      </c>
      <c r="F39" s="119">
        <v>0</v>
      </c>
    </row>
    <row r="40" spans="1:6" outlineLevel="2" x14ac:dyDescent="0.25">
      <c r="A40" s="701"/>
      <c r="B40" s="702"/>
      <c r="C40" s="702"/>
      <c r="D40" s="68" t="s">
        <v>29</v>
      </c>
      <c r="E40" s="72">
        <f t="shared" si="4"/>
        <v>0</v>
      </c>
      <c r="F40" s="119">
        <v>0</v>
      </c>
    </row>
    <row r="41" spans="1:6" outlineLevel="2" x14ac:dyDescent="0.25">
      <c r="A41" s="701"/>
      <c r="B41" s="702"/>
      <c r="C41" s="702"/>
      <c r="D41" s="68" t="s">
        <v>30</v>
      </c>
      <c r="E41" s="72">
        <f t="shared" si="4"/>
        <v>0</v>
      </c>
      <c r="F41" s="119">
        <v>0</v>
      </c>
    </row>
    <row r="42" spans="1:6" outlineLevel="2" x14ac:dyDescent="0.25">
      <c r="A42" s="701"/>
      <c r="B42" s="702"/>
      <c r="C42" s="702"/>
      <c r="D42" s="68" t="s">
        <v>31</v>
      </c>
      <c r="E42" s="72">
        <f t="shared" si="4"/>
        <v>0</v>
      </c>
      <c r="F42" s="119">
        <v>0</v>
      </c>
    </row>
    <row r="43" spans="1:6" outlineLevel="2" x14ac:dyDescent="0.25">
      <c r="A43" s="701"/>
      <c r="B43" s="702"/>
      <c r="C43" s="702"/>
      <c r="D43" s="68" t="s">
        <v>32</v>
      </c>
      <c r="E43" s="72">
        <f t="shared" si="4"/>
        <v>0</v>
      </c>
      <c r="F43" s="119">
        <v>0</v>
      </c>
    </row>
    <row r="44" spans="1:6" outlineLevel="2" x14ac:dyDescent="0.25">
      <c r="A44" s="701"/>
      <c r="B44" s="702"/>
      <c r="C44" s="702"/>
      <c r="D44" s="68" t="s">
        <v>33</v>
      </c>
      <c r="E44" s="72">
        <f t="shared" si="4"/>
        <v>0</v>
      </c>
      <c r="F44" s="119">
        <v>0</v>
      </c>
    </row>
    <row r="45" spans="1:6" ht="15.75" outlineLevel="2" thickBot="1" x14ac:dyDescent="0.3">
      <c r="A45" s="701"/>
      <c r="B45" s="702"/>
      <c r="C45" s="702"/>
      <c r="D45" s="69" t="s">
        <v>34</v>
      </c>
      <c r="E45" s="73">
        <f t="shared" si="4"/>
        <v>0</v>
      </c>
      <c r="F45" s="120">
        <v>0</v>
      </c>
    </row>
    <row r="46" spans="1:6" outlineLevel="2" x14ac:dyDescent="0.25">
      <c r="A46" s="701" t="s">
        <v>77</v>
      </c>
      <c r="B46" s="702" t="s">
        <v>78</v>
      </c>
      <c r="C46" s="702">
        <v>637001</v>
      </c>
      <c r="D46" s="67" t="s">
        <v>25</v>
      </c>
      <c r="E46" s="72">
        <f t="shared" si="4"/>
        <v>0</v>
      </c>
      <c r="F46" s="118">
        <v>0</v>
      </c>
    </row>
    <row r="47" spans="1:6" outlineLevel="2" x14ac:dyDescent="0.25">
      <c r="A47" s="701"/>
      <c r="B47" s="702"/>
      <c r="C47" s="702"/>
      <c r="D47" s="68" t="s">
        <v>26</v>
      </c>
      <c r="E47" s="72">
        <f t="shared" si="4"/>
        <v>0</v>
      </c>
      <c r="F47" s="119">
        <v>0</v>
      </c>
    </row>
    <row r="48" spans="1:6" outlineLevel="2" x14ac:dyDescent="0.25">
      <c r="A48" s="701"/>
      <c r="B48" s="702"/>
      <c r="C48" s="702"/>
      <c r="D48" s="68" t="s">
        <v>27</v>
      </c>
      <c r="E48" s="72">
        <f t="shared" si="4"/>
        <v>0</v>
      </c>
      <c r="F48" s="119">
        <v>0</v>
      </c>
    </row>
    <row r="49" spans="1:8" outlineLevel="2" x14ac:dyDescent="0.25">
      <c r="A49" s="701"/>
      <c r="B49" s="702"/>
      <c r="C49" s="702"/>
      <c r="D49" s="68" t="s">
        <v>28</v>
      </c>
      <c r="E49" s="72">
        <f t="shared" si="4"/>
        <v>0</v>
      </c>
      <c r="F49" s="119">
        <v>0</v>
      </c>
    </row>
    <row r="50" spans="1:8" outlineLevel="2" x14ac:dyDescent="0.25">
      <c r="A50" s="701"/>
      <c r="B50" s="702"/>
      <c r="C50" s="702"/>
      <c r="D50" s="68" t="s">
        <v>29</v>
      </c>
      <c r="E50" s="72">
        <f t="shared" si="4"/>
        <v>0</v>
      </c>
      <c r="F50" s="119">
        <v>0</v>
      </c>
    </row>
    <row r="51" spans="1:8" outlineLevel="2" x14ac:dyDescent="0.25">
      <c r="A51" s="701"/>
      <c r="B51" s="702"/>
      <c r="C51" s="702"/>
      <c r="D51" s="68" t="s">
        <v>30</v>
      </c>
      <c r="E51" s="72">
        <f t="shared" si="4"/>
        <v>0</v>
      </c>
      <c r="F51" s="119">
        <v>0</v>
      </c>
    </row>
    <row r="52" spans="1:8" outlineLevel="2" x14ac:dyDescent="0.25">
      <c r="A52" s="701"/>
      <c r="B52" s="702"/>
      <c r="C52" s="702"/>
      <c r="D52" s="68" t="s">
        <v>31</v>
      </c>
      <c r="E52" s="72">
        <f t="shared" si="4"/>
        <v>0</v>
      </c>
      <c r="F52" s="119">
        <v>0</v>
      </c>
    </row>
    <row r="53" spans="1:8" outlineLevel="2" x14ac:dyDescent="0.25">
      <c r="A53" s="701"/>
      <c r="B53" s="702"/>
      <c r="C53" s="702"/>
      <c r="D53" s="68" t="s">
        <v>32</v>
      </c>
      <c r="E53" s="72">
        <f t="shared" si="4"/>
        <v>0</v>
      </c>
      <c r="F53" s="119">
        <v>0</v>
      </c>
    </row>
    <row r="54" spans="1:8" outlineLevel="2" x14ac:dyDescent="0.25">
      <c r="A54" s="701"/>
      <c r="B54" s="702"/>
      <c r="C54" s="702"/>
      <c r="D54" s="68" t="s">
        <v>33</v>
      </c>
      <c r="E54" s="72">
        <f t="shared" si="4"/>
        <v>0</v>
      </c>
      <c r="F54" s="119">
        <v>0</v>
      </c>
    </row>
    <row r="55" spans="1:8" ht="15.75" outlineLevel="2" thickBot="1" x14ac:dyDescent="0.3">
      <c r="A55" s="701"/>
      <c r="B55" s="702"/>
      <c r="C55" s="702"/>
      <c r="D55" s="68" t="s">
        <v>34</v>
      </c>
      <c r="E55" s="73">
        <f t="shared" si="4"/>
        <v>0</v>
      </c>
      <c r="F55" s="120">
        <v>0</v>
      </c>
    </row>
    <row r="56" spans="1:8" ht="15.75" thickBot="1" x14ac:dyDescent="0.3">
      <c r="A56" s="705" t="s">
        <v>79</v>
      </c>
      <c r="B56" s="706"/>
      <c r="C56" s="706"/>
      <c r="D56" s="80"/>
      <c r="E56" s="77">
        <f t="shared" ref="E56:F56" si="5">E57+E78</f>
        <v>2373600</v>
      </c>
      <c r="F56" s="78">
        <f t="shared" si="5"/>
        <v>2373600</v>
      </c>
    </row>
    <row r="57" spans="1:8" ht="15.75" outlineLevel="1" thickBot="1" x14ac:dyDescent="0.3">
      <c r="A57" s="17" t="s">
        <v>106</v>
      </c>
      <c r="B57" s="17"/>
      <c r="C57" s="17"/>
      <c r="D57" s="28"/>
      <c r="E57" s="124">
        <f t="shared" ref="E57:F57" si="6">SUM(E58:E77)</f>
        <v>933600</v>
      </c>
      <c r="F57" s="125">
        <f t="shared" si="6"/>
        <v>933600</v>
      </c>
    </row>
    <row r="58" spans="1:8" outlineLevel="2" x14ac:dyDescent="0.25">
      <c r="A58" s="701" t="s">
        <v>80</v>
      </c>
      <c r="B58" s="702" t="s">
        <v>81</v>
      </c>
      <c r="C58" s="702">
        <v>635009</v>
      </c>
      <c r="D58" s="67" t="s">
        <v>25</v>
      </c>
      <c r="E58" s="64">
        <f t="shared" ref="E58:E77" si="7">SUM(F58:F58)</f>
        <v>0</v>
      </c>
      <c r="F58" s="121">
        <v>0</v>
      </c>
      <c r="G58">
        <v>199540</v>
      </c>
      <c r="H58" t="s">
        <v>391</v>
      </c>
    </row>
    <row r="59" spans="1:8" outlineLevel="2" x14ac:dyDescent="0.25">
      <c r="A59" s="701"/>
      <c r="B59" s="702"/>
      <c r="C59" s="702"/>
      <c r="D59" s="68" t="s">
        <v>26</v>
      </c>
      <c r="E59" s="65">
        <f t="shared" si="7"/>
        <v>346800</v>
      </c>
      <c r="F59" s="122">
        <f>289000*1.2</f>
        <v>346800</v>
      </c>
      <c r="G59" t="s">
        <v>392</v>
      </c>
    </row>
    <row r="60" spans="1:8" outlineLevel="2" x14ac:dyDescent="0.25">
      <c r="A60" s="701"/>
      <c r="B60" s="702"/>
      <c r="C60" s="702"/>
      <c r="D60" s="68" t="s">
        <v>27</v>
      </c>
      <c r="E60" s="65">
        <f t="shared" si="7"/>
        <v>346800</v>
      </c>
      <c r="F60" s="122">
        <f>289000*1.2</f>
        <v>346800</v>
      </c>
      <c r="G60" t="s">
        <v>392</v>
      </c>
    </row>
    <row r="61" spans="1:8" outlineLevel="2" x14ac:dyDescent="0.25">
      <c r="A61" s="701"/>
      <c r="B61" s="702"/>
      <c r="C61" s="702"/>
      <c r="D61" s="68" t="s">
        <v>28</v>
      </c>
      <c r="E61" s="65">
        <f t="shared" si="7"/>
        <v>0</v>
      </c>
      <c r="F61" s="122"/>
    </row>
    <row r="62" spans="1:8" outlineLevel="2" x14ac:dyDescent="0.25">
      <c r="A62" s="701"/>
      <c r="B62" s="702"/>
      <c r="C62" s="702"/>
      <c r="D62" s="68" t="s">
        <v>29</v>
      </c>
      <c r="E62" s="65">
        <f t="shared" si="7"/>
        <v>0</v>
      </c>
      <c r="F62" s="122"/>
    </row>
    <row r="63" spans="1:8" outlineLevel="2" x14ac:dyDescent="0.25">
      <c r="A63" s="701"/>
      <c r="B63" s="702"/>
      <c r="C63" s="702"/>
      <c r="D63" s="68" t="s">
        <v>30</v>
      </c>
      <c r="E63" s="65">
        <f t="shared" si="7"/>
        <v>0</v>
      </c>
      <c r="F63" s="122"/>
    </row>
    <row r="64" spans="1:8" outlineLevel="2" x14ac:dyDescent="0.25">
      <c r="A64" s="701"/>
      <c r="B64" s="702"/>
      <c r="C64" s="702"/>
      <c r="D64" s="68" t="s">
        <v>31</v>
      </c>
      <c r="E64" s="65">
        <f t="shared" si="7"/>
        <v>0</v>
      </c>
      <c r="F64" s="122"/>
    </row>
    <row r="65" spans="1:6" outlineLevel="2" x14ac:dyDescent="0.25">
      <c r="A65" s="701"/>
      <c r="B65" s="702"/>
      <c r="C65" s="702"/>
      <c r="D65" s="68" t="s">
        <v>32</v>
      </c>
      <c r="E65" s="65">
        <f t="shared" si="7"/>
        <v>0</v>
      </c>
      <c r="F65" s="122"/>
    </row>
    <row r="66" spans="1:6" outlineLevel="2" x14ac:dyDescent="0.25">
      <c r="A66" s="701"/>
      <c r="B66" s="702"/>
      <c r="C66" s="702"/>
      <c r="D66" s="68" t="s">
        <v>33</v>
      </c>
      <c r="E66" s="65">
        <f t="shared" si="7"/>
        <v>0</v>
      </c>
      <c r="F66" s="122"/>
    </row>
    <row r="67" spans="1:6" ht="15.75" outlineLevel="2" thickBot="1" x14ac:dyDescent="0.3">
      <c r="A67" s="701"/>
      <c r="B67" s="702"/>
      <c r="C67" s="702"/>
      <c r="D67" s="69" t="s">
        <v>34</v>
      </c>
      <c r="E67" s="66">
        <f t="shared" si="7"/>
        <v>0</v>
      </c>
      <c r="F67" s="123"/>
    </row>
    <row r="68" spans="1:6" outlineLevel="2" x14ac:dyDescent="0.25">
      <c r="A68" s="701" t="s">
        <v>82</v>
      </c>
      <c r="B68" s="702" t="s">
        <v>73</v>
      </c>
      <c r="C68" s="702">
        <v>718006</v>
      </c>
      <c r="D68" s="67" t="s">
        <v>25</v>
      </c>
      <c r="E68" s="65">
        <f t="shared" si="7"/>
        <v>240000</v>
      </c>
      <c r="F68" s="121">
        <f>200000*1.2</f>
        <v>240000</v>
      </c>
    </row>
    <row r="69" spans="1:6" outlineLevel="2" x14ac:dyDescent="0.25">
      <c r="A69" s="701"/>
      <c r="B69" s="702"/>
      <c r="C69" s="702"/>
      <c r="D69" s="68" t="s">
        <v>26</v>
      </c>
      <c r="E69" s="65">
        <f t="shared" si="7"/>
        <v>0</v>
      </c>
      <c r="F69" s="122">
        <v>0</v>
      </c>
    </row>
    <row r="70" spans="1:6" outlineLevel="2" x14ac:dyDescent="0.25">
      <c r="A70" s="701"/>
      <c r="B70" s="702"/>
      <c r="C70" s="702"/>
      <c r="D70" s="68" t="s">
        <v>27</v>
      </c>
      <c r="E70" s="65">
        <f t="shared" si="7"/>
        <v>0</v>
      </c>
      <c r="F70" s="122">
        <v>0</v>
      </c>
    </row>
    <row r="71" spans="1:6" outlineLevel="2" x14ac:dyDescent="0.25">
      <c r="A71" s="701"/>
      <c r="B71" s="702"/>
      <c r="C71" s="702"/>
      <c r="D71" s="68" t="s">
        <v>28</v>
      </c>
      <c r="E71" s="65">
        <f t="shared" si="7"/>
        <v>0</v>
      </c>
      <c r="F71" s="122">
        <v>0</v>
      </c>
    </row>
    <row r="72" spans="1:6" outlineLevel="2" x14ac:dyDescent="0.25">
      <c r="A72" s="701"/>
      <c r="B72" s="702"/>
      <c r="C72" s="702"/>
      <c r="D72" s="68" t="s">
        <v>29</v>
      </c>
      <c r="E72" s="65">
        <f t="shared" si="7"/>
        <v>0</v>
      </c>
      <c r="F72" s="122">
        <v>0</v>
      </c>
    </row>
    <row r="73" spans="1:6" outlineLevel="2" x14ac:dyDescent="0.25">
      <c r="A73" s="701"/>
      <c r="B73" s="702"/>
      <c r="C73" s="702"/>
      <c r="D73" s="68" t="s">
        <v>30</v>
      </c>
      <c r="E73" s="65">
        <f t="shared" si="7"/>
        <v>0</v>
      </c>
      <c r="F73" s="122">
        <v>0</v>
      </c>
    </row>
    <row r="74" spans="1:6" outlineLevel="2" x14ac:dyDescent="0.25">
      <c r="A74" s="701"/>
      <c r="B74" s="702"/>
      <c r="C74" s="702"/>
      <c r="D74" s="68" t="s">
        <v>31</v>
      </c>
      <c r="E74" s="65">
        <f t="shared" si="7"/>
        <v>0</v>
      </c>
      <c r="F74" s="122">
        <v>0</v>
      </c>
    </row>
    <row r="75" spans="1:6" outlineLevel="2" x14ac:dyDescent="0.25">
      <c r="A75" s="701"/>
      <c r="B75" s="702"/>
      <c r="C75" s="702"/>
      <c r="D75" s="68" t="s">
        <v>32</v>
      </c>
      <c r="E75" s="65">
        <f t="shared" si="7"/>
        <v>0</v>
      </c>
      <c r="F75" s="122">
        <v>0</v>
      </c>
    </row>
    <row r="76" spans="1:6" outlineLevel="2" x14ac:dyDescent="0.25">
      <c r="A76" s="701"/>
      <c r="B76" s="702"/>
      <c r="C76" s="702"/>
      <c r="D76" s="68" t="s">
        <v>33</v>
      </c>
      <c r="E76" s="65">
        <f t="shared" si="7"/>
        <v>0</v>
      </c>
      <c r="F76" s="122">
        <v>0</v>
      </c>
    </row>
    <row r="77" spans="1:6" ht="15.75" outlineLevel="2" thickBot="1" x14ac:dyDescent="0.3">
      <c r="A77" s="701"/>
      <c r="B77" s="702"/>
      <c r="C77" s="702"/>
      <c r="D77" s="69" t="s">
        <v>34</v>
      </c>
      <c r="E77" s="66">
        <f t="shared" si="7"/>
        <v>0</v>
      </c>
      <c r="F77" s="123">
        <v>0</v>
      </c>
    </row>
    <row r="78" spans="1:6" ht="15.75" outlineLevel="1" thickBot="1" x14ac:dyDescent="0.3">
      <c r="A78" s="17" t="s">
        <v>107</v>
      </c>
      <c r="B78" s="17"/>
      <c r="C78" s="17"/>
      <c r="D78" s="28"/>
      <c r="E78" s="126">
        <f t="shared" ref="E78:F78" si="8">SUM(E79:E128)</f>
        <v>1440000</v>
      </c>
      <c r="F78" s="127">
        <f t="shared" si="8"/>
        <v>1440000</v>
      </c>
    </row>
    <row r="79" spans="1:6" outlineLevel="2" x14ac:dyDescent="0.25">
      <c r="A79" s="701" t="s">
        <v>83</v>
      </c>
      <c r="B79" s="702" t="s">
        <v>81</v>
      </c>
      <c r="C79" s="702">
        <v>635009</v>
      </c>
      <c r="D79" s="67" t="s">
        <v>25</v>
      </c>
      <c r="E79" s="65">
        <f t="shared" ref="E79:E110" si="9">SUM(F79:F79)</f>
        <v>0</v>
      </c>
      <c r="F79" s="118">
        <v>0</v>
      </c>
    </row>
    <row r="80" spans="1:6" outlineLevel="2" x14ac:dyDescent="0.25">
      <c r="A80" s="701"/>
      <c r="B80" s="702"/>
      <c r="C80" s="702"/>
      <c r="D80" s="68" t="s">
        <v>26</v>
      </c>
      <c r="E80" s="65">
        <f t="shared" si="9"/>
        <v>0</v>
      </c>
      <c r="F80" s="119">
        <v>0</v>
      </c>
    </row>
    <row r="81" spans="1:6" outlineLevel="2" x14ac:dyDescent="0.25">
      <c r="A81" s="701"/>
      <c r="B81" s="702"/>
      <c r="C81" s="702"/>
      <c r="D81" s="68" t="s">
        <v>27</v>
      </c>
      <c r="E81" s="65">
        <f t="shared" si="9"/>
        <v>0</v>
      </c>
      <c r="F81" s="119">
        <v>0</v>
      </c>
    </row>
    <row r="82" spans="1:6" outlineLevel="2" x14ac:dyDescent="0.25">
      <c r="A82" s="701"/>
      <c r="B82" s="702"/>
      <c r="C82" s="702"/>
      <c r="D82" s="68" t="s">
        <v>28</v>
      </c>
      <c r="E82" s="65">
        <f t="shared" si="9"/>
        <v>0</v>
      </c>
      <c r="F82" s="119">
        <v>0</v>
      </c>
    </row>
    <row r="83" spans="1:6" outlineLevel="2" x14ac:dyDescent="0.25">
      <c r="A83" s="701"/>
      <c r="B83" s="702"/>
      <c r="C83" s="702"/>
      <c r="D83" s="68" t="s">
        <v>29</v>
      </c>
      <c r="E83" s="65">
        <f t="shared" si="9"/>
        <v>0</v>
      </c>
      <c r="F83" s="119">
        <v>0</v>
      </c>
    </row>
    <row r="84" spans="1:6" outlineLevel="2" x14ac:dyDescent="0.25">
      <c r="A84" s="701"/>
      <c r="B84" s="702"/>
      <c r="C84" s="702"/>
      <c r="D84" s="68" t="s">
        <v>30</v>
      </c>
      <c r="E84" s="65">
        <f t="shared" si="9"/>
        <v>0</v>
      </c>
      <c r="F84" s="119">
        <v>0</v>
      </c>
    </row>
    <row r="85" spans="1:6" outlineLevel="2" x14ac:dyDescent="0.25">
      <c r="A85" s="701"/>
      <c r="B85" s="702"/>
      <c r="C85" s="702"/>
      <c r="D85" s="68" t="s">
        <v>31</v>
      </c>
      <c r="E85" s="65">
        <f t="shared" si="9"/>
        <v>0</v>
      </c>
      <c r="F85" s="119">
        <v>0</v>
      </c>
    </row>
    <row r="86" spans="1:6" outlineLevel="2" x14ac:dyDescent="0.25">
      <c r="A86" s="701"/>
      <c r="B86" s="702"/>
      <c r="C86" s="702"/>
      <c r="D86" s="68" t="s">
        <v>32</v>
      </c>
      <c r="E86" s="65">
        <f t="shared" si="9"/>
        <v>0</v>
      </c>
      <c r="F86" s="119">
        <v>0</v>
      </c>
    </row>
    <row r="87" spans="1:6" outlineLevel="2" x14ac:dyDescent="0.25">
      <c r="A87" s="701"/>
      <c r="B87" s="702"/>
      <c r="C87" s="702"/>
      <c r="D87" s="68" t="s">
        <v>33</v>
      </c>
      <c r="E87" s="65">
        <f t="shared" si="9"/>
        <v>0</v>
      </c>
      <c r="F87" s="119">
        <v>0</v>
      </c>
    </row>
    <row r="88" spans="1:6" ht="15.75" outlineLevel="2" thickBot="1" x14ac:dyDescent="0.3">
      <c r="A88" s="701"/>
      <c r="B88" s="702"/>
      <c r="C88" s="702"/>
      <c r="D88" s="69" t="s">
        <v>34</v>
      </c>
      <c r="E88" s="66">
        <f t="shared" si="9"/>
        <v>0</v>
      </c>
      <c r="F88" s="119">
        <v>0</v>
      </c>
    </row>
    <row r="89" spans="1:6" outlineLevel="2" x14ac:dyDescent="0.25">
      <c r="A89" s="701" t="s">
        <v>84</v>
      </c>
      <c r="B89" s="702" t="s">
        <v>78</v>
      </c>
      <c r="C89" s="702">
        <v>637005</v>
      </c>
      <c r="D89" s="67" t="s">
        <v>25</v>
      </c>
      <c r="E89" s="72">
        <f t="shared" si="9"/>
        <v>72000</v>
      </c>
      <c r="F89" s="118">
        <f>60000*1.2</f>
        <v>72000</v>
      </c>
    </row>
    <row r="90" spans="1:6" outlineLevel="2" x14ac:dyDescent="0.25">
      <c r="A90" s="701"/>
      <c r="B90" s="702"/>
      <c r="C90" s="702"/>
      <c r="D90" s="68" t="s">
        <v>26</v>
      </c>
      <c r="E90" s="72">
        <f t="shared" si="9"/>
        <v>72000</v>
      </c>
      <c r="F90" s="119">
        <f>60000*1.2</f>
        <v>72000</v>
      </c>
    </row>
    <row r="91" spans="1:6" outlineLevel="2" x14ac:dyDescent="0.25">
      <c r="A91" s="701"/>
      <c r="B91" s="702"/>
      <c r="C91" s="702"/>
      <c r="D91" s="68" t="s">
        <v>27</v>
      </c>
      <c r="E91" s="72">
        <f t="shared" si="9"/>
        <v>72000</v>
      </c>
      <c r="F91" s="119">
        <f>60000*1.2</f>
        <v>72000</v>
      </c>
    </row>
    <row r="92" spans="1:6" outlineLevel="2" x14ac:dyDescent="0.25">
      <c r="A92" s="701"/>
      <c r="B92" s="702"/>
      <c r="C92" s="702"/>
      <c r="D92" s="68" t="s">
        <v>28</v>
      </c>
      <c r="E92" s="72">
        <f t="shared" si="9"/>
        <v>0</v>
      </c>
      <c r="F92" s="119"/>
    </row>
    <row r="93" spans="1:6" outlineLevel="2" x14ac:dyDescent="0.25">
      <c r="A93" s="701"/>
      <c r="B93" s="702"/>
      <c r="C93" s="702"/>
      <c r="D93" s="68" t="s">
        <v>29</v>
      </c>
      <c r="E93" s="72">
        <f t="shared" si="9"/>
        <v>0</v>
      </c>
      <c r="F93" s="119"/>
    </row>
    <row r="94" spans="1:6" outlineLevel="2" x14ac:dyDescent="0.25">
      <c r="A94" s="701"/>
      <c r="B94" s="702"/>
      <c r="C94" s="702"/>
      <c r="D94" s="68" t="s">
        <v>30</v>
      </c>
      <c r="E94" s="72">
        <f t="shared" si="9"/>
        <v>0</v>
      </c>
      <c r="F94" s="119"/>
    </row>
    <row r="95" spans="1:6" outlineLevel="2" x14ac:dyDescent="0.25">
      <c r="A95" s="701"/>
      <c r="B95" s="702"/>
      <c r="C95" s="702"/>
      <c r="D95" s="68" t="s">
        <v>31</v>
      </c>
      <c r="E95" s="72">
        <f t="shared" si="9"/>
        <v>0</v>
      </c>
      <c r="F95" s="119"/>
    </row>
    <row r="96" spans="1:6" outlineLevel="2" x14ac:dyDescent="0.25">
      <c r="A96" s="701"/>
      <c r="B96" s="702"/>
      <c r="C96" s="702"/>
      <c r="D96" s="68" t="s">
        <v>32</v>
      </c>
      <c r="E96" s="72">
        <f t="shared" si="9"/>
        <v>0</v>
      </c>
      <c r="F96" s="119"/>
    </row>
    <row r="97" spans="1:6" outlineLevel="2" x14ac:dyDescent="0.25">
      <c r="A97" s="701"/>
      <c r="B97" s="702"/>
      <c r="C97" s="702"/>
      <c r="D97" s="68" t="s">
        <v>33</v>
      </c>
      <c r="E97" s="72">
        <f t="shared" si="9"/>
        <v>0</v>
      </c>
      <c r="F97" s="119"/>
    </row>
    <row r="98" spans="1:6" ht="15.75" outlineLevel="2" thickBot="1" x14ac:dyDescent="0.3">
      <c r="A98" s="701"/>
      <c r="B98" s="702"/>
      <c r="C98" s="702"/>
      <c r="D98" s="69" t="s">
        <v>34</v>
      </c>
      <c r="E98" s="73">
        <f t="shared" si="9"/>
        <v>0</v>
      </c>
      <c r="F98" s="120"/>
    </row>
    <row r="99" spans="1:6" outlineLevel="2" x14ac:dyDescent="0.25">
      <c r="A99" s="701" t="s">
        <v>85</v>
      </c>
      <c r="B99" s="702" t="s">
        <v>73</v>
      </c>
      <c r="C99" s="702">
        <v>718006</v>
      </c>
      <c r="D99" s="67" t="s">
        <v>25</v>
      </c>
      <c r="E99" s="72">
        <f t="shared" si="9"/>
        <v>960000</v>
      </c>
      <c r="F99" s="118">
        <f>800000*1.2</f>
        <v>960000</v>
      </c>
    </row>
    <row r="100" spans="1:6" outlineLevel="2" x14ac:dyDescent="0.25">
      <c r="A100" s="701"/>
      <c r="B100" s="702"/>
      <c r="C100" s="702"/>
      <c r="D100" s="68" t="s">
        <v>26</v>
      </c>
      <c r="E100" s="72">
        <f t="shared" si="9"/>
        <v>168000</v>
      </c>
      <c r="F100" s="119">
        <f>140000*1.2</f>
        <v>168000</v>
      </c>
    </row>
    <row r="101" spans="1:6" outlineLevel="2" x14ac:dyDescent="0.25">
      <c r="A101" s="701"/>
      <c r="B101" s="702"/>
      <c r="C101" s="702"/>
      <c r="D101" s="68" t="s">
        <v>27</v>
      </c>
      <c r="E101" s="72">
        <f t="shared" si="9"/>
        <v>72000</v>
      </c>
      <c r="F101" s="119">
        <f>60000*1.2</f>
        <v>72000</v>
      </c>
    </row>
    <row r="102" spans="1:6" outlineLevel="2" x14ac:dyDescent="0.25">
      <c r="A102" s="701"/>
      <c r="B102" s="702"/>
      <c r="C102" s="702"/>
      <c r="D102" s="68" t="s">
        <v>28</v>
      </c>
      <c r="E102" s="72">
        <f t="shared" si="9"/>
        <v>0</v>
      </c>
      <c r="F102" s="119"/>
    </row>
    <row r="103" spans="1:6" outlineLevel="2" x14ac:dyDescent="0.25">
      <c r="A103" s="701"/>
      <c r="B103" s="702"/>
      <c r="C103" s="702"/>
      <c r="D103" s="68" t="s">
        <v>29</v>
      </c>
      <c r="E103" s="72">
        <f t="shared" si="9"/>
        <v>0</v>
      </c>
      <c r="F103" s="119"/>
    </row>
    <row r="104" spans="1:6" outlineLevel="2" x14ac:dyDescent="0.25">
      <c r="A104" s="701"/>
      <c r="B104" s="702"/>
      <c r="C104" s="702"/>
      <c r="D104" s="68" t="s">
        <v>30</v>
      </c>
      <c r="E104" s="72">
        <f t="shared" si="9"/>
        <v>0</v>
      </c>
      <c r="F104" s="119"/>
    </row>
    <row r="105" spans="1:6" outlineLevel="2" x14ac:dyDescent="0.25">
      <c r="A105" s="701"/>
      <c r="B105" s="702"/>
      <c r="C105" s="702"/>
      <c r="D105" s="68" t="s">
        <v>31</v>
      </c>
      <c r="E105" s="72">
        <f t="shared" si="9"/>
        <v>0</v>
      </c>
      <c r="F105" s="119"/>
    </row>
    <row r="106" spans="1:6" outlineLevel="2" x14ac:dyDescent="0.25">
      <c r="A106" s="701"/>
      <c r="B106" s="702"/>
      <c r="C106" s="702"/>
      <c r="D106" s="68" t="s">
        <v>32</v>
      </c>
      <c r="E106" s="72">
        <f t="shared" si="9"/>
        <v>0</v>
      </c>
      <c r="F106" s="119"/>
    </row>
    <row r="107" spans="1:6" outlineLevel="2" x14ac:dyDescent="0.25">
      <c r="A107" s="701"/>
      <c r="B107" s="702"/>
      <c r="C107" s="702"/>
      <c r="D107" s="68" t="s">
        <v>33</v>
      </c>
      <c r="E107" s="72">
        <f t="shared" si="9"/>
        <v>0</v>
      </c>
      <c r="F107" s="119"/>
    </row>
    <row r="108" spans="1:6" ht="15.75" outlineLevel="2" thickBot="1" x14ac:dyDescent="0.3">
      <c r="A108" s="701"/>
      <c r="B108" s="702"/>
      <c r="C108" s="702"/>
      <c r="D108" s="69" t="s">
        <v>34</v>
      </c>
      <c r="E108" s="73">
        <f t="shared" si="9"/>
        <v>0</v>
      </c>
      <c r="F108" s="120"/>
    </row>
    <row r="109" spans="1:6" outlineLevel="2" x14ac:dyDescent="0.25">
      <c r="A109" s="701" t="s">
        <v>86</v>
      </c>
      <c r="B109" s="702" t="s">
        <v>87</v>
      </c>
      <c r="C109" s="702">
        <v>610</v>
      </c>
      <c r="D109" s="67" t="s">
        <v>25</v>
      </c>
      <c r="E109" s="72">
        <f t="shared" si="9"/>
        <v>0</v>
      </c>
      <c r="F109" s="118">
        <v>0</v>
      </c>
    </row>
    <row r="110" spans="1:6" outlineLevel="2" x14ac:dyDescent="0.25">
      <c r="A110" s="701"/>
      <c r="B110" s="702"/>
      <c r="C110" s="702"/>
      <c r="D110" s="68" t="s">
        <v>26</v>
      </c>
      <c r="E110" s="72">
        <f t="shared" si="9"/>
        <v>0</v>
      </c>
      <c r="F110" s="119">
        <v>0</v>
      </c>
    </row>
    <row r="111" spans="1:6" outlineLevel="2" x14ac:dyDescent="0.25">
      <c r="A111" s="701"/>
      <c r="B111" s="702"/>
      <c r="C111" s="702"/>
      <c r="D111" s="68" t="s">
        <v>27</v>
      </c>
      <c r="E111" s="72">
        <f t="shared" ref="E111:E128" si="10">SUM(F111:F111)</f>
        <v>0</v>
      </c>
      <c r="F111" s="119">
        <v>0</v>
      </c>
    </row>
    <row r="112" spans="1:6" outlineLevel="2" x14ac:dyDescent="0.25">
      <c r="A112" s="701"/>
      <c r="B112" s="702"/>
      <c r="C112" s="702"/>
      <c r="D112" s="68" t="s">
        <v>28</v>
      </c>
      <c r="E112" s="72">
        <f t="shared" si="10"/>
        <v>0</v>
      </c>
      <c r="F112" s="119">
        <v>0</v>
      </c>
    </row>
    <row r="113" spans="1:6" outlineLevel="2" x14ac:dyDescent="0.25">
      <c r="A113" s="701"/>
      <c r="B113" s="702"/>
      <c r="C113" s="702"/>
      <c r="D113" s="68" t="s">
        <v>29</v>
      </c>
      <c r="E113" s="72">
        <f t="shared" si="10"/>
        <v>0</v>
      </c>
      <c r="F113" s="119">
        <v>0</v>
      </c>
    </row>
    <row r="114" spans="1:6" outlineLevel="2" x14ac:dyDescent="0.25">
      <c r="A114" s="701"/>
      <c r="B114" s="702"/>
      <c r="C114" s="702"/>
      <c r="D114" s="68" t="s">
        <v>30</v>
      </c>
      <c r="E114" s="72">
        <f t="shared" si="10"/>
        <v>0</v>
      </c>
      <c r="F114" s="119">
        <v>0</v>
      </c>
    </row>
    <row r="115" spans="1:6" outlineLevel="2" x14ac:dyDescent="0.25">
      <c r="A115" s="701"/>
      <c r="B115" s="702"/>
      <c r="C115" s="702"/>
      <c r="D115" s="68" t="s">
        <v>31</v>
      </c>
      <c r="E115" s="72">
        <f t="shared" si="10"/>
        <v>0</v>
      </c>
      <c r="F115" s="119">
        <v>0</v>
      </c>
    </row>
    <row r="116" spans="1:6" outlineLevel="2" x14ac:dyDescent="0.25">
      <c r="A116" s="701"/>
      <c r="B116" s="702"/>
      <c r="C116" s="702"/>
      <c r="D116" s="68" t="s">
        <v>32</v>
      </c>
      <c r="E116" s="72">
        <f t="shared" si="10"/>
        <v>0</v>
      </c>
      <c r="F116" s="119">
        <v>0</v>
      </c>
    </row>
    <row r="117" spans="1:6" outlineLevel="2" x14ac:dyDescent="0.25">
      <c r="A117" s="701"/>
      <c r="B117" s="702"/>
      <c r="C117" s="702"/>
      <c r="D117" s="68" t="s">
        <v>33</v>
      </c>
      <c r="E117" s="72">
        <f t="shared" si="10"/>
        <v>0</v>
      </c>
      <c r="F117" s="119">
        <v>0</v>
      </c>
    </row>
    <row r="118" spans="1:6" ht="15.75" outlineLevel="2" thickBot="1" x14ac:dyDescent="0.3">
      <c r="A118" s="701"/>
      <c r="B118" s="702"/>
      <c r="C118" s="702"/>
      <c r="D118" s="69" t="s">
        <v>34</v>
      </c>
      <c r="E118" s="73">
        <f t="shared" si="10"/>
        <v>0</v>
      </c>
      <c r="F118" s="120">
        <v>0</v>
      </c>
    </row>
    <row r="119" spans="1:6" outlineLevel="2" x14ac:dyDescent="0.25">
      <c r="A119" s="701" t="s">
        <v>77</v>
      </c>
      <c r="B119" s="702" t="s">
        <v>78</v>
      </c>
      <c r="C119" s="702">
        <v>637001</v>
      </c>
      <c r="D119" s="67" t="s">
        <v>25</v>
      </c>
      <c r="E119" s="72">
        <f t="shared" si="10"/>
        <v>24000</v>
      </c>
      <c r="F119" s="118">
        <f>20000*1.2</f>
        <v>24000</v>
      </c>
    </row>
    <row r="120" spans="1:6" outlineLevel="2" x14ac:dyDescent="0.25">
      <c r="A120" s="701"/>
      <c r="B120" s="702"/>
      <c r="C120" s="702"/>
      <c r="D120" s="68" t="s">
        <v>26</v>
      </c>
      <c r="E120" s="72">
        <f t="shared" si="10"/>
        <v>0</v>
      </c>
      <c r="F120" s="119">
        <v>0</v>
      </c>
    </row>
    <row r="121" spans="1:6" outlineLevel="2" x14ac:dyDescent="0.25">
      <c r="A121" s="701"/>
      <c r="B121" s="702"/>
      <c r="C121" s="702"/>
      <c r="D121" s="68" t="s">
        <v>27</v>
      </c>
      <c r="E121" s="72">
        <f t="shared" si="10"/>
        <v>0</v>
      </c>
      <c r="F121" s="119">
        <v>0</v>
      </c>
    </row>
    <row r="122" spans="1:6" outlineLevel="2" x14ac:dyDescent="0.25">
      <c r="A122" s="701"/>
      <c r="B122" s="702"/>
      <c r="C122" s="702"/>
      <c r="D122" s="68" t="s">
        <v>28</v>
      </c>
      <c r="E122" s="72">
        <f t="shared" si="10"/>
        <v>0</v>
      </c>
      <c r="F122" s="119">
        <v>0</v>
      </c>
    </row>
    <row r="123" spans="1:6" outlineLevel="2" x14ac:dyDescent="0.25">
      <c r="A123" s="701"/>
      <c r="B123" s="702"/>
      <c r="C123" s="702"/>
      <c r="D123" s="68" t="s">
        <v>29</v>
      </c>
      <c r="E123" s="72">
        <f t="shared" si="10"/>
        <v>0</v>
      </c>
      <c r="F123" s="119">
        <v>0</v>
      </c>
    </row>
    <row r="124" spans="1:6" outlineLevel="2" x14ac:dyDescent="0.25">
      <c r="A124" s="701"/>
      <c r="B124" s="702"/>
      <c r="C124" s="702"/>
      <c r="D124" s="68" t="s">
        <v>30</v>
      </c>
      <c r="E124" s="72">
        <f t="shared" si="10"/>
        <v>0</v>
      </c>
      <c r="F124" s="119">
        <v>0</v>
      </c>
    </row>
    <row r="125" spans="1:6" outlineLevel="2" x14ac:dyDescent="0.25">
      <c r="A125" s="701"/>
      <c r="B125" s="702"/>
      <c r="C125" s="702"/>
      <c r="D125" s="68" t="s">
        <v>31</v>
      </c>
      <c r="E125" s="72">
        <f t="shared" si="10"/>
        <v>0</v>
      </c>
      <c r="F125" s="119">
        <v>0</v>
      </c>
    </row>
    <row r="126" spans="1:6" outlineLevel="2" x14ac:dyDescent="0.25">
      <c r="A126" s="701"/>
      <c r="B126" s="702"/>
      <c r="C126" s="702"/>
      <c r="D126" s="68" t="s">
        <v>32</v>
      </c>
      <c r="E126" s="72">
        <f t="shared" si="10"/>
        <v>0</v>
      </c>
      <c r="F126" s="119">
        <v>0</v>
      </c>
    </row>
    <row r="127" spans="1:6" outlineLevel="2" x14ac:dyDescent="0.25">
      <c r="A127" s="701"/>
      <c r="B127" s="702"/>
      <c r="C127" s="702"/>
      <c r="D127" s="68" t="s">
        <v>33</v>
      </c>
      <c r="E127" s="72">
        <f t="shared" si="10"/>
        <v>0</v>
      </c>
      <c r="F127" s="119">
        <v>0</v>
      </c>
    </row>
    <row r="128" spans="1:6" ht="15.75" outlineLevel="2" thickBot="1" x14ac:dyDescent="0.3">
      <c r="A128" s="701"/>
      <c r="B128" s="702"/>
      <c r="C128" s="702"/>
      <c r="D128" s="69" t="s">
        <v>34</v>
      </c>
      <c r="E128" s="73">
        <f t="shared" si="10"/>
        <v>0</v>
      </c>
      <c r="F128" s="120">
        <v>0</v>
      </c>
    </row>
    <row r="129" spans="1:6" ht="15.75" thickBot="1" x14ac:dyDescent="0.3">
      <c r="A129" s="17" t="s">
        <v>316</v>
      </c>
      <c r="B129" s="17"/>
      <c r="C129" s="17"/>
      <c r="D129" s="28"/>
      <c r="E129" s="126">
        <f>SUM(E130:E149)</f>
        <v>72000</v>
      </c>
      <c r="F129" s="127">
        <f t="shared" ref="F129" si="11">SUM(F130:F149)</f>
        <v>72000</v>
      </c>
    </row>
    <row r="130" spans="1:6" x14ac:dyDescent="0.25">
      <c r="A130" s="701" t="s">
        <v>317</v>
      </c>
      <c r="B130" s="702"/>
      <c r="C130" s="702"/>
      <c r="D130" s="67" t="s">
        <v>25</v>
      </c>
      <c r="E130" s="71">
        <f t="shared" ref="E130:E149" si="12">SUM(F130:F130)</f>
        <v>48000</v>
      </c>
      <c r="F130" s="118">
        <f>40000*1.2</f>
        <v>48000</v>
      </c>
    </row>
    <row r="131" spans="1:6" x14ac:dyDescent="0.25">
      <c r="A131" s="701"/>
      <c r="B131" s="702"/>
      <c r="C131" s="702"/>
      <c r="D131" s="68" t="s">
        <v>26</v>
      </c>
      <c r="E131" s="72">
        <f t="shared" si="12"/>
        <v>12000</v>
      </c>
      <c r="F131" s="119">
        <f>10000*1.2</f>
        <v>12000</v>
      </c>
    </row>
    <row r="132" spans="1:6" x14ac:dyDescent="0.25">
      <c r="A132" s="701"/>
      <c r="B132" s="702"/>
      <c r="C132" s="702"/>
      <c r="D132" s="68" t="s">
        <v>27</v>
      </c>
      <c r="E132" s="72">
        <f t="shared" si="12"/>
        <v>12000</v>
      </c>
      <c r="F132" s="119">
        <f>10000*1.2</f>
        <v>12000</v>
      </c>
    </row>
    <row r="133" spans="1:6" x14ac:dyDescent="0.25">
      <c r="A133" s="701"/>
      <c r="B133" s="702"/>
      <c r="C133" s="702"/>
      <c r="D133" s="68" t="s">
        <v>28</v>
      </c>
      <c r="E133" s="72">
        <f t="shared" si="12"/>
        <v>0</v>
      </c>
      <c r="F133" s="119">
        <v>0</v>
      </c>
    </row>
    <row r="134" spans="1:6" x14ac:dyDescent="0.25">
      <c r="A134" s="701"/>
      <c r="B134" s="702"/>
      <c r="C134" s="702"/>
      <c r="D134" s="68" t="s">
        <v>29</v>
      </c>
      <c r="E134" s="72">
        <f t="shared" si="12"/>
        <v>0</v>
      </c>
      <c r="F134" s="119">
        <v>0</v>
      </c>
    </row>
    <row r="135" spans="1:6" x14ac:dyDescent="0.25">
      <c r="A135" s="701"/>
      <c r="B135" s="702"/>
      <c r="C135" s="702"/>
      <c r="D135" s="68" t="s">
        <v>30</v>
      </c>
      <c r="E135" s="72">
        <f t="shared" si="12"/>
        <v>0</v>
      </c>
      <c r="F135" s="119">
        <v>0</v>
      </c>
    </row>
    <row r="136" spans="1:6" x14ac:dyDescent="0.25">
      <c r="A136" s="701"/>
      <c r="B136" s="702"/>
      <c r="C136" s="702"/>
      <c r="D136" s="68" t="s">
        <v>31</v>
      </c>
      <c r="E136" s="72">
        <f t="shared" si="12"/>
        <v>0</v>
      </c>
      <c r="F136" s="119">
        <v>0</v>
      </c>
    </row>
    <row r="137" spans="1:6" x14ac:dyDescent="0.25">
      <c r="A137" s="701"/>
      <c r="B137" s="702"/>
      <c r="C137" s="702"/>
      <c r="D137" s="68" t="s">
        <v>32</v>
      </c>
      <c r="E137" s="72">
        <f t="shared" si="12"/>
        <v>0</v>
      </c>
      <c r="F137" s="119">
        <v>0</v>
      </c>
    </row>
    <row r="138" spans="1:6" x14ac:dyDescent="0.25">
      <c r="A138" s="701"/>
      <c r="B138" s="702"/>
      <c r="C138" s="702"/>
      <c r="D138" s="68" t="s">
        <v>33</v>
      </c>
      <c r="E138" s="72">
        <f t="shared" si="12"/>
        <v>0</v>
      </c>
      <c r="F138" s="119">
        <v>0</v>
      </c>
    </row>
    <row r="139" spans="1:6" ht="15.75" thickBot="1" x14ac:dyDescent="0.3">
      <c r="A139" s="701"/>
      <c r="B139" s="702"/>
      <c r="C139" s="702"/>
      <c r="D139" s="69" t="s">
        <v>34</v>
      </c>
      <c r="E139" s="73">
        <f t="shared" si="12"/>
        <v>0</v>
      </c>
      <c r="F139" s="120">
        <v>0</v>
      </c>
    </row>
    <row r="140" spans="1:6" x14ac:dyDescent="0.25">
      <c r="A140" s="701" t="s">
        <v>154</v>
      </c>
      <c r="B140" s="702"/>
      <c r="C140" s="702" t="s">
        <v>343</v>
      </c>
      <c r="D140" s="67" t="s">
        <v>25</v>
      </c>
      <c r="E140" s="72">
        <f t="shared" si="12"/>
        <v>0</v>
      </c>
      <c r="F140" s="118">
        <v>0</v>
      </c>
    </row>
    <row r="141" spans="1:6" x14ac:dyDescent="0.25">
      <c r="A141" s="701"/>
      <c r="B141" s="702"/>
      <c r="C141" s="702"/>
      <c r="D141" s="68" t="s">
        <v>26</v>
      </c>
      <c r="E141" s="72">
        <f t="shared" si="12"/>
        <v>0</v>
      </c>
      <c r="F141" s="119">
        <v>0</v>
      </c>
    </row>
    <row r="142" spans="1:6" x14ac:dyDescent="0.25">
      <c r="A142" s="701"/>
      <c r="B142" s="702"/>
      <c r="C142" s="702"/>
      <c r="D142" s="68" t="s">
        <v>27</v>
      </c>
      <c r="E142" s="72">
        <f t="shared" si="12"/>
        <v>0</v>
      </c>
      <c r="F142" s="119">
        <v>0</v>
      </c>
    </row>
    <row r="143" spans="1:6" x14ac:dyDescent="0.25">
      <c r="A143" s="701"/>
      <c r="B143" s="702"/>
      <c r="C143" s="702"/>
      <c r="D143" s="68" t="s">
        <v>28</v>
      </c>
      <c r="E143" s="72">
        <f t="shared" si="12"/>
        <v>0</v>
      </c>
      <c r="F143" s="119">
        <v>0</v>
      </c>
    </row>
    <row r="144" spans="1:6" x14ac:dyDescent="0.25">
      <c r="A144" s="701"/>
      <c r="B144" s="702"/>
      <c r="C144" s="702"/>
      <c r="D144" s="68" t="s">
        <v>29</v>
      </c>
      <c r="E144" s="72">
        <f t="shared" si="12"/>
        <v>0</v>
      </c>
      <c r="F144" s="119">
        <v>0</v>
      </c>
    </row>
    <row r="145" spans="1:6" x14ac:dyDescent="0.25">
      <c r="A145" s="701"/>
      <c r="B145" s="702"/>
      <c r="C145" s="702"/>
      <c r="D145" s="68" t="s">
        <v>30</v>
      </c>
      <c r="E145" s="72">
        <f t="shared" si="12"/>
        <v>0</v>
      </c>
      <c r="F145" s="119">
        <v>0</v>
      </c>
    </row>
    <row r="146" spans="1:6" x14ac:dyDescent="0.25">
      <c r="A146" s="701"/>
      <c r="B146" s="702"/>
      <c r="C146" s="702"/>
      <c r="D146" s="68" t="s">
        <v>31</v>
      </c>
      <c r="E146" s="72">
        <f t="shared" si="12"/>
        <v>0</v>
      </c>
      <c r="F146" s="119">
        <v>0</v>
      </c>
    </row>
    <row r="147" spans="1:6" x14ac:dyDescent="0.25">
      <c r="A147" s="701"/>
      <c r="B147" s="702"/>
      <c r="C147" s="702"/>
      <c r="D147" s="68" t="s">
        <v>32</v>
      </c>
      <c r="E147" s="72">
        <f t="shared" si="12"/>
        <v>0</v>
      </c>
      <c r="F147" s="119">
        <v>0</v>
      </c>
    </row>
    <row r="148" spans="1:6" x14ac:dyDescent="0.25">
      <c r="A148" s="701"/>
      <c r="B148" s="702"/>
      <c r="C148" s="702"/>
      <c r="D148" s="68" t="s">
        <v>33</v>
      </c>
      <c r="E148" s="72">
        <f t="shared" si="12"/>
        <v>0</v>
      </c>
      <c r="F148" s="119">
        <v>0</v>
      </c>
    </row>
    <row r="149" spans="1:6" ht="15.75" thickBot="1" x14ac:dyDescent="0.3">
      <c r="A149" s="701"/>
      <c r="B149" s="702"/>
      <c r="C149" s="702"/>
      <c r="D149" s="69" t="s">
        <v>34</v>
      </c>
      <c r="E149" s="73">
        <f t="shared" si="12"/>
        <v>0</v>
      </c>
      <c r="F149" s="120">
        <v>0</v>
      </c>
    </row>
    <row r="150" spans="1:6" ht="15.75" thickBot="1" x14ac:dyDescent="0.3">
      <c r="A150" s="705" t="s">
        <v>344</v>
      </c>
      <c r="B150" s="706"/>
      <c r="C150" s="706"/>
      <c r="D150" s="80"/>
      <c r="E150" s="77">
        <f t="shared" ref="E150:F150" si="13">SUM(E151:E170)</f>
        <v>0</v>
      </c>
      <c r="F150" s="78">
        <f t="shared" si="13"/>
        <v>0</v>
      </c>
    </row>
    <row r="151" spans="1:6" x14ac:dyDescent="0.25">
      <c r="A151" s="701" t="s">
        <v>346</v>
      </c>
      <c r="B151" s="702" t="s">
        <v>78</v>
      </c>
      <c r="C151" s="702">
        <v>633013</v>
      </c>
      <c r="D151" s="67" t="s">
        <v>25</v>
      </c>
      <c r="E151" s="64">
        <f t="shared" ref="E151:E170" si="14">SUM(F151:F151)</f>
        <v>0</v>
      </c>
      <c r="F151" s="121">
        <v>0</v>
      </c>
    </row>
    <row r="152" spans="1:6" x14ac:dyDescent="0.25">
      <c r="A152" s="701"/>
      <c r="B152" s="702"/>
      <c r="C152" s="702"/>
      <c r="D152" s="68" t="s">
        <v>26</v>
      </c>
      <c r="E152" s="65">
        <f t="shared" si="14"/>
        <v>0</v>
      </c>
      <c r="F152" s="122">
        <v>0</v>
      </c>
    </row>
    <row r="153" spans="1:6" x14ac:dyDescent="0.25">
      <c r="A153" s="701"/>
      <c r="B153" s="702"/>
      <c r="C153" s="702"/>
      <c r="D153" s="68" t="s">
        <v>27</v>
      </c>
      <c r="E153" s="65">
        <f t="shared" si="14"/>
        <v>0</v>
      </c>
      <c r="F153" s="122">
        <v>0</v>
      </c>
    </row>
    <row r="154" spans="1:6" x14ac:dyDescent="0.25">
      <c r="A154" s="701"/>
      <c r="B154" s="702"/>
      <c r="C154" s="702"/>
      <c r="D154" s="68" t="s">
        <v>28</v>
      </c>
      <c r="E154" s="65">
        <f t="shared" si="14"/>
        <v>0</v>
      </c>
      <c r="F154" s="122">
        <v>0</v>
      </c>
    </row>
    <row r="155" spans="1:6" x14ac:dyDescent="0.25">
      <c r="A155" s="701"/>
      <c r="B155" s="702"/>
      <c r="C155" s="702"/>
      <c r="D155" s="68" t="s">
        <v>29</v>
      </c>
      <c r="E155" s="65">
        <f t="shared" si="14"/>
        <v>0</v>
      </c>
      <c r="F155" s="122">
        <v>0</v>
      </c>
    </row>
    <row r="156" spans="1:6" x14ac:dyDescent="0.25">
      <c r="A156" s="701"/>
      <c r="B156" s="702"/>
      <c r="C156" s="702"/>
      <c r="D156" s="68" t="s">
        <v>30</v>
      </c>
      <c r="E156" s="65">
        <f t="shared" si="14"/>
        <v>0</v>
      </c>
      <c r="F156" s="122">
        <v>0</v>
      </c>
    </row>
    <row r="157" spans="1:6" x14ac:dyDescent="0.25">
      <c r="A157" s="701"/>
      <c r="B157" s="702"/>
      <c r="C157" s="702"/>
      <c r="D157" s="68" t="s">
        <v>31</v>
      </c>
      <c r="E157" s="65">
        <f t="shared" si="14"/>
        <v>0</v>
      </c>
      <c r="F157" s="122">
        <v>0</v>
      </c>
    </row>
    <row r="158" spans="1:6" x14ac:dyDescent="0.25">
      <c r="A158" s="701"/>
      <c r="B158" s="702"/>
      <c r="C158" s="702"/>
      <c r="D158" s="68" t="s">
        <v>32</v>
      </c>
      <c r="E158" s="65">
        <f t="shared" si="14"/>
        <v>0</v>
      </c>
      <c r="F158" s="122">
        <v>0</v>
      </c>
    </row>
    <row r="159" spans="1:6" x14ac:dyDescent="0.25">
      <c r="A159" s="701"/>
      <c r="B159" s="702"/>
      <c r="C159" s="702"/>
      <c r="D159" s="68" t="s">
        <v>33</v>
      </c>
      <c r="E159" s="65">
        <f t="shared" si="14"/>
        <v>0</v>
      </c>
      <c r="F159" s="122">
        <v>0</v>
      </c>
    </row>
    <row r="160" spans="1:6" ht="15.75" thickBot="1" x14ac:dyDescent="0.3">
      <c r="A160" s="701"/>
      <c r="B160" s="702"/>
      <c r="C160" s="702"/>
      <c r="D160" s="69" t="s">
        <v>34</v>
      </c>
      <c r="E160" s="66">
        <f t="shared" si="14"/>
        <v>0</v>
      </c>
      <c r="F160" s="123">
        <v>0</v>
      </c>
    </row>
    <row r="161" spans="1:6" x14ac:dyDescent="0.25">
      <c r="A161" s="701" t="s">
        <v>345</v>
      </c>
      <c r="B161" s="702"/>
      <c r="C161" s="702">
        <v>637031</v>
      </c>
      <c r="D161" s="67" t="s">
        <v>25</v>
      </c>
      <c r="E161" s="65">
        <f t="shared" si="14"/>
        <v>0</v>
      </c>
      <c r="F161" s="121">
        <v>0</v>
      </c>
    </row>
    <row r="162" spans="1:6" x14ac:dyDescent="0.25">
      <c r="A162" s="701"/>
      <c r="B162" s="702"/>
      <c r="C162" s="702"/>
      <c r="D162" s="68" t="s">
        <v>26</v>
      </c>
      <c r="E162" s="65">
        <f t="shared" si="14"/>
        <v>0</v>
      </c>
      <c r="F162" s="122">
        <v>0</v>
      </c>
    </row>
    <row r="163" spans="1:6" x14ac:dyDescent="0.25">
      <c r="A163" s="701"/>
      <c r="B163" s="702"/>
      <c r="C163" s="702"/>
      <c r="D163" s="68" t="s">
        <v>27</v>
      </c>
      <c r="E163" s="65">
        <f t="shared" si="14"/>
        <v>0</v>
      </c>
      <c r="F163" s="122">
        <v>0</v>
      </c>
    </row>
    <row r="164" spans="1:6" x14ac:dyDescent="0.25">
      <c r="A164" s="701"/>
      <c r="B164" s="702"/>
      <c r="C164" s="702"/>
      <c r="D164" s="68" t="s">
        <v>28</v>
      </c>
      <c r="E164" s="65">
        <f t="shared" si="14"/>
        <v>0</v>
      </c>
      <c r="F164" s="122">
        <v>0</v>
      </c>
    </row>
    <row r="165" spans="1:6" x14ac:dyDescent="0.25">
      <c r="A165" s="701"/>
      <c r="B165" s="702"/>
      <c r="C165" s="702"/>
      <c r="D165" s="68" t="s">
        <v>29</v>
      </c>
      <c r="E165" s="65">
        <f t="shared" si="14"/>
        <v>0</v>
      </c>
      <c r="F165" s="122">
        <v>0</v>
      </c>
    </row>
    <row r="166" spans="1:6" x14ac:dyDescent="0.25">
      <c r="A166" s="701"/>
      <c r="B166" s="702"/>
      <c r="C166" s="702"/>
      <c r="D166" s="68" t="s">
        <v>30</v>
      </c>
      <c r="E166" s="65">
        <f t="shared" si="14"/>
        <v>0</v>
      </c>
      <c r="F166" s="122">
        <v>0</v>
      </c>
    </row>
    <row r="167" spans="1:6" x14ac:dyDescent="0.25">
      <c r="A167" s="701"/>
      <c r="B167" s="702"/>
      <c r="C167" s="702"/>
      <c r="D167" s="68" t="s">
        <v>31</v>
      </c>
      <c r="E167" s="65">
        <f t="shared" si="14"/>
        <v>0</v>
      </c>
      <c r="F167" s="122">
        <v>0</v>
      </c>
    </row>
    <row r="168" spans="1:6" x14ac:dyDescent="0.25">
      <c r="A168" s="701"/>
      <c r="B168" s="702"/>
      <c r="C168" s="702"/>
      <c r="D168" s="68" t="s">
        <v>32</v>
      </c>
      <c r="E168" s="65">
        <f t="shared" si="14"/>
        <v>0</v>
      </c>
      <c r="F168" s="122">
        <v>0</v>
      </c>
    </row>
    <row r="169" spans="1:6" x14ac:dyDescent="0.25">
      <c r="A169" s="701"/>
      <c r="B169" s="702"/>
      <c r="C169" s="702"/>
      <c r="D169" s="68" t="s">
        <v>33</v>
      </c>
      <c r="E169" s="65">
        <f t="shared" si="14"/>
        <v>0</v>
      </c>
      <c r="F169" s="122">
        <v>0</v>
      </c>
    </row>
    <row r="170" spans="1:6" ht="15.75" thickBot="1" x14ac:dyDescent="0.3">
      <c r="A170" s="701"/>
      <c r="B170" s="702"/>
      <c r="C170" s="702"/>
      <c r="D170" s="69" t="s">
        <v>34</v>
      </c>
      <c r="E170" s="66">
        <f t="shared" si="14"/>
        <v>0</v>
      </c>
      <c r="F170" s="123">
        <v>0</v>
      </c>
    </row>
  </sheetData>
  <mergeCells count="52">
    <mergeCell ref="A150:C150"/>
    <mergeCell ref="A151:A160"/>
    <mergeCell ref="B151:B160"/>
    <mergeCell ref="C151:C160"/>
    <mergeCell ref="A161:A170"/>
    <mergeCell ref="B161:B170"/>
    <mergeCell ref="C161:C170"/>
    <mergeCell ref="A36:A45"/>
    <mergeCell ref="B36:B45"/>
    <mergeCell ref="C36:C45"/>
    <mergeCell ref="A3:C3"/>
    <mergeCell ref="A46:A55"/>
    <mergeCell ref="B46:B55"/>
    <mergeCell ref="C46:C55"/>
    <mergeCell ref="A15:A24"/>
    <mergeCell ref="B15:B24"/>
    <mergeCell ref="C15:C24"/>
    <mergeCell ref="A26:A35"/>
    <mergeCell ref="B26:B35"/>
    <mergeCell ref="C26:C35"/>
    <mergeCell ref="C5:C14"/>
    <mergeCell ref="A5:A14"/>
    <mergeCell ref="B5:B14"/>
    <mergeCell ref="A56:C56"/>
    <mergeCell ref="A58:A67"/>
    <mergeCell ref="B58:B67"/>
    <mergeCell ref="C58:C67"/>
    <mergeCell ref="A68:A77"/>
    <mergeCell ref="B68:B77"/>
    <mergeCell ref="C68:C77"/>
    <mergeCell ref="A119:A128"/>
    <mergeCell ref="B119:B128"/>
    <mergeCell ref="C119:C128"/>
    <mergeCell ref="A1:D1"/>
    <mergeCell ref="A99:A108"/>
    <mergeCell ref="B99:B108"/>
    <mergeCell ref="C99:C108"/>
    <mergeCell ref="A109:A118"/>
    <mergeCell ref="B109:B118"/>
    <mergeCell ref="C109:C118"/>
    <mergeCell ref="A79:A88"/>
    <mergeCell ref="B79:B88"/>
    <mergeCell ref="C79:C88"/>
    <mergeCell ref="A89:A98"/>
    <mergeCell ref="B89:B98"/>
    <mergeCell ref="C89:C98"/>
    <mergeCell ref="A130:A139"/>
    <mergeCell ref="B130:B139"/>
    <mergeCell ref="C130:C139"/>
    <mergeCell ref="A140:A149"/>
    <mergeCell ref="B140:B149"/>
    <mergeCell ref="C140:C149"/>
  </mergeCells>
  <phoneticPr fontId="74" type="noConversion"/>
  <pageMargins left="0.7" right="0.7" top="0.75" bottom="0.75" header="0.3" footer="0.3"/>
  <pageSetup paperSize="9" scale="29" orientation="portrait" r:id="rId1"/>
  <ignoredErrors>
    <ignoredError sqref="E25 E78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CC"/>
    <outlinePr summaryBelow="0" summaryRight="0"/>
  </sheetPr>
  <dimension ref="A1:F84"/>
  <sheetViews>
    <sheetView view="pageBreakPreview" topLeftCell="A60" zoomScale="139" zoomScaleNormal="85" zoomScaleSheetLayoutView="139" workbookViewId="0">
      <selection activeCell="F38" sqref="F38"/>
    </sheetView>
  </sheetViews>
  <sheetFormatPr defaultColWidth="8.85546875" defaultRowHeight="15" outlineLevelRow="1" outlineLevelCol="1" x14ac:dyDescent="0.25"/>
  <cols>
    <col min="1" max="1" width="22.42578125" customWidth="1"/>
    <col min="2" max="2" width="23.28515625" customWidth="1"/>
    <col min="3" max="3" width="22.42578125" customWidth="1"/>
    <col min="5" max="5" width="17.85546875" customWidth="1"/>
    <col min="6" max="6" width="19.28515625" customWidth="1" outlineLevel="1"/>
  </cols>
  <sheetData>
    <row r="1" spans="1:6" ht="36" customHeight="1" thickBot="1" x14ac:dyDescent="0.4">
      <c r="A1" s="703" t="s">
        <v>98</v>
      </c>
      <c r="B1" s="703"/>
      <c r="C1" s="703"/>
      <c r="D1" s="704"/>
      <c r="E1" s="70" t="s">
        <v>35</v>
      </c>
      <c r="F1" s="315" t="s">
        <v>393</v>
      </c>
    </row>
    <row r="2" spans="1:6" ht="15.75" thickBot="1" x14ac:dyDescent="0.3">
      <c r="A2" s="40" t="s">
        <v>0</v>
      </c>
      <c r="B2" s="75" t="s">
        <v>75</v>
      </c>
      <c r="C2" s="75" t="s">
        <v>74</v>
      </c>
      <c r="D2" s="75" t="s">
        <v>23</v>
      </c>
      <c r="E2" s="17"/>
      <c r="F2" s="17"/>
    </row>
    <row r="3" spans="1:6" ht="15.75" thickBot="1" x14ac:dyDescent="0.3">
      <c r="A3" s="710" t="s">
        <v>88</v>
      </c>
      <c r="B3" s="710"/>
      <c r="C3" s="710"/>
      <c r="D3" s="74"/>
      <c r="E3" s="77">
        <f t="shared" ref="E3:F3" si="0">SUM(E4:E33)</f>
        <v>0</v>
      </c>
      <c r="F3" s="78">
        <f t="shared" si="0"/>
        <v>0</v>
      </c>
    </row>
    <row r="4" spans="1:6" outlineLevel="1" x14ac:dyDescent="0.25">
      <c r="A4" s="701" t="s">
        <v>90</v>
      </c>
      <c r="B4" s="701" t="s">
        <v>93</v>
      </c>
      <c r="C4" s="702">
        <v>713002</v>
      </c>
      <c r="D4" s="67" t="s">
        <v>25</v>
      </c>
      <c r="E4" s="71">
        <f t="shared" ref="E4:E33" si="1">SUM(F4:F4)</f>
        <v>0</v>
      </c>
      <c r="F4" s="118">
        <v>0</v>
      </c>
    </row>
    <row r="5" spans="1:6" outlineLevel="1" x14ac:dyDescent="0.25">
      <c r="A5" s="701"/>
      <c r="B5" s="702"/>
      <c r="C5" s="702"/>
      <c r="D5" s="68" t="s">
        <v>26</v>
      </c>
      <c r="E5" s="72">
        <f t="shared" si="1"/>
        <v>0</v>
      </c>
      <c r="F5" s="119">
        <v>0</v>
      </c>
    </row>
    <row r="6" spans="1:6" outlineLevel="1" x14ac:dyDescent="0.25">
      <c r="A6" s="701"/>
      <c r="B6" s="702"/>
      <c r="C6" s="702"/>
      <c r="D6" s="68" t="s">
        <v>27</v>
      </c>
      <c r="E6" s="72">
        <f t="shared" si="1"/>
        <v>0</v>
      </c>
      <c r="F6" s="119">
        <v>0</v>
      </c>
    </row>
    <row r="7" spans="1:6" outlineLevel="1" x14ac:dyDescent="0.25">
      <c r="A7" s="701"/>
      <c r="B7" s="702"/>
      <c r="C7" s="702"/>
      <c r="D7" s="68" t="s">
        <v>28</v>
      </c>
      <c r="E7" s="72">
        <f t="shared" si="1"/>
        <v>0</v>
      </c>
      <c r="F7" s="119">
        <v>0</v>
      </c>
    </row>
    <row r="8" spans="1:6" outlineLevel="1" x14ac:dyDescent="0.25">
      <c r="A8" s="701"/>
      <c r="B8" s="702"/>
      <c r="C8" s="702"/>
      <c r="D8" s="68" t="s">
        <v>29</v>
      </c>
      <c r="E8" s="72">
        <f t="shared" si="1"/>
        <v>0</v>
      </c>
      <c r="F8" s="119">
        <v>0</v>
      </c>
    </row>
    <row r="9" spans="1:6" outlineLevel="1" x14ac:dyDescent="0.25">
      <c r="A9" s="701"/>
      <c r="B9" s="702"/>
      <c r="C9" s="702"/>
      <c r="D9" s="68" t="s">
        <v>30</v>
      </c>
      <c r="E9" s="72">
        <f t="shared" si="1"/>
        <v>0</v>
      </c>
      <c r="F9" s="119">
        <v>0</v>
      </c>
    </row>
    <row r="10" spans="1:6" outlineLevel="1" x14ac:dyDescent="0.25">
      <c r="A10" s="701"/>
      <c r="B10" s="702"/>
      <c r="C10" s="702"/>
      <c r="D10" s="68" t="s">
        <v>31</v>
      </c>
      <c r="E10" s="72">
        <f t="shared" si="1"/>
        <v>0</v>
      </c>
      <c r="F10" s="119">
        <v>0</v>
      </c>
    </row>
    <row r="11" spans="1:6" outlineLevel="1" x14ac:dyDescent="0.25">
      <c r="A11" s="701"/>
      <c r="B11" s="702"/>
      <c r="C11" s="702"/>
      <c r="D11" s="68" t="s">
        <v>32</v>
      </c>
      <c r="E11" s="72">
        <f t="shared" si="1"/>
        <v>0</v>
      </c>
      <c r="F11" s="119">
        <v>0</v>
      </c>
    </row>
    <row r="12" spans="1:6" outlineLevel="1" x14ac:dyDescent="0.25">
      <c r="A12" s="701"/>
      <c r="B12" s="702"/>
      <c r="C12" s="702"/>
      <c r="D12" s="68" t="s">
        <v>33</v>
      </c>
      <c r="E12" s="72">
        <f t="shared" si="1"/>
        <v>0</v>
      </c>
      <c r="F12" s="119">
        <v>0</v>
      </c>
    </row>
    <row r="13" spans="1:6" ht="15.75" outlineLevel="1" thickBot="1" x14ac:dyDescent="0.3">
      <c r="A13" s="701"/>
      <c r="B13" s="702"/>
      <c r="C13" s="702"/>
      <c r="D13" s="69" t="s">
        <v>34</v>
      </c>
      <c r="E13" s="73">
        <f t="shared" si="1"/>
        <v>0</v>
      </c>
      <c r="F13" s="120">
        <v>0</v>
      </c>
    </row>
    <row r="14" spans="1:6" ht="15" customHeight="1" outlineLevel="1" x14ac:dyDescent="0.25">
      <c r="A14" s="701" t="s">
        <v>91</v>
      </c>
      <c r="B14" s="701" t="s">
        <v>115</v>
      </c>
      <c r="C14" s="702">
        <v>633002</v>
      </c>
      <c r="D14" s="67" t="s">
        <v>25</v>
      </c>
      <c r="E14" s="72">
        <f t="shared" si="1"/>
        <v>0</v>
      </c>
      <c r="F14" s="118">
        <v>0</v>
      </c>
    </row>
    <row r="15" spans="1:6" outlineLevel="1" x14ac:dyDescent="0.25">
      <c r="A15" s="701"/>
      <c r="B15" s="702"/>
      <c r="C15" s="702"/>
      <c r="D15" s="68" t="s">
        <v>26</v>
      </c>
      <c r="E15" s="72">
        <f t="shared" si="1"/>
        <v>0</v>
      </c>
      <c r="F15" s="119">
        <v>0</v>
      </c>
    </row>
    <row r="16" spans="1:6" outlineLevel="1" x14ac:dyDescent="0.25">
      <c r="A16" s="701"/>
      <c r="B16" s="702"/>
      <c r="C16" s="702"/>
      <c r="D16" s="68" t="s">
        <v>27</v>
      </c>
      <c r="E16" s="72">
        <f t="shared" si="1"/>
        <v>0</v>
      </c>
      <c r="F16" s="119">
        <v>0</v>
      </c>
    </row>
    <row r="17" spans="1:6" outlineLevel="1" x14ac:dyDescent="0.25">
      <c r="A17" s="701"/>
      <c r="B17" s="702"/>
      <c r="C17" s="702"/>
      <c r="D17" s="68" t="s">
        <v>28</v>
      </c>
      <c r="E17" s="72">
        <f t="shared" si="1"/>
        <v>0</v>
      </c>
      <c r="F17" s="119">
        <v>0</v>
      </c>
    </row>
    <row r="18" spans="1:6" outlineLevel="1" x14ac:dyDescent="0.25">
      <c r="A18" s="701"/>
      <c r="B18" s="702"/>
      <c r="C18" s="702"/>
      <c r="D18" s="68" t="s">
        <v>29</v>
      </c>
      <c r="E18" s="72">
        <f t="shared" si="1"/>
        <v>0</v>
      </c>
      <c r="F18" s="119">
        <v>0</v>
      </c>
    </row>
    <row r="19" spans="1:6" outlineLevel="1" x14ac:dyDescent="0.25">
      <c r="A19" s="701"/>
      <c r="B19" s="702"/>
      <c r="C19" s="702"/>
      <c r="D19" s="68" t="s">
        <v>30</v>
      </c>
      <c r="E19" s="72">
        <f t="shared" si="1"/>
        <v>0</v>
      </c>
      <c r="F19" s="119">
        <v>0</v>
      </c>
    </row>
    <row r="20" spans="1:6" outlineLevel="1" x14ac:dyDescent="0.25">
      <c r="A20" s="701"/>
      <c r="B20" s="702"/>
      <c r="C20" s="702"/>
      <c r="D20" s="68" t="s">
        <v>31</v>
      </c>
      <c r="E20" s="72">
        <f t="shared" si="1"/>
        <v>0</v>
      </c>
      <c r="F20" s="119">
        <v>0</v>
      </c>
    </row>
    <row r="21" spans="1:6" outlineLevel="1" x14ac:dyDescent="0.25">
      <c r="A21" s="701"/>
      <c r="B21" s="702"/>
      <c r="C21" s="702"/>
      <c r="D21" s="68" t="s">
        <v>32</v>
      </c>
      <c r="E21" s="72">
        <f t="shared" si="1"/>
        <v>0</v>
      </c>
      <c r="F21" s="119">
        <v>0</v>
      </c>
    </row>
    <row r="22" spans="1:6" outlineLevel="1" x14ac:dyDescent="0.25">
      <c r="A22" s="701"/>
      <c r="B22" s="702"/>
      <c r="C22" s="702"/>
      <c r="D22" s="68" t="s">
        <v>33</v>
      </c>
      <c r="E22" s="72">
        <f t="shared" si="1"/>
        <v>0</v>
      </c>
      <c r="F22" s="119">
        <v>0</v>
      </c>
    </row>
    <row r="23" spans="1:6" ht="15.75" outlineLevel="1" thickBot="1" x14ac:dyDescent="0.3">
      <c r="A23" s="701"/>
      <c r="B23" s="702"/>
      <c r="C23" s="702"/>
      <c r="D23" s="69" t="s">
        <v>34</v>
      </c>
      <c r="E23" s="73">
        <f t="shared" si="1"/>
        <v>0</v>
      </c>
      <c r="F23" s="120">
        <v>0</v>
      </c>
    </row>
    <row r="24" spans="1:6" outlineLevel="1" x14ac:dyDescent="0.25">
      <c r="A24" s="701" t="s">
        <v>92</v>
      </c>
      <c r="B24" s="702" t="s">
        <v>78</v>
      </c>
      <c r="C24" s="702">
        <v>637001</v>
      </c>
      <c r="D24" s="67" t="s">
        <v>25</v>
      </c>
      <c r="E24" s="72">
        <f t="shared" si="1"/>
        <v>0</v>
      </c>
      <c r="F24" s="118">
        <v>0</v>
      </c>
    </row>
    <row r="25" spans="1:6" outlineLevel="1" x14ac:dyDescent="0.25">
      <c r="A25" s="701"/>
      <c r="B25" s="702"/>
      <c r="C25" s="702"/>
      <c r="D25" s="68" t="s">
        <v>26</v>
      </c>
      <c r="E25" s="72">
        <f t="shared" si="1"/>
        <v>0</v>
      </c>
      <c r="F25" s="119">
        <v>0</v>
      </c>
    </row>
    <row r="26" spans="1:6" outlineLevel="1" x14ac:dyDescent="0.25">
      <c r="A26" s="701"/>
      <c r="B26" s="702"/>
      <c r="C26" s="702"/>
      <c r="D26" s="68" t="s">
        <v>27</v>
      </c>
      <c r="E26" s="72">
        <f t="shared" si="1"/>
        <v>0</v>
      </c>
      <c r="F26" s="119">
        <v>0</v>
      </c>
    </row>
    <row r="27" spans="1:6" outlineLevel="1" x14ac:dyDescent="0.25">
      <c r="A27" s="701"/>
      <c r="B27" s="702"/>
      <c r="C27" s="702"/>
      <c r="D27" s="68" t="s">
        <v>28</v>
      </c>
      <c r="E27" s="72">
        <f t="shared" si="1"/>
        <v>0</v>
      </c>
      <c r="F27" s="119">
        <v>0</v>
      </c>
    </row>
    <row r="28" spans="1:6" outlineLevel="1" x14ac:dyDescent="0.25">
      <c r="A28" s="701"/>
      <c r="B28" s="702"/>
      <c r="C28" s="702"/>
      <c r="D28" s="68" t="s">
        <v>29</v>
      </c>
      <c r="E28" s="72">
        <f t="shared" si="1"/>
        <v>0</v>
      </c>
      <c r="F28" s="119">
        <v>0</v>
      </c>
    </row>
    <row r="29" spans="1:6" outlineLevel="1" x14ac:dyDescent="0.25">
      <c r="A29" s="701"/>
      <c r="B29" s="702"/>
      <c r="C29" s="702"/>
      <c r="D29" s="68" t="s">
        <v>30</v>
      </c>
      <c r="E29" s="72">
        <f t="shared" si="1"/>
        <v>0</v>
      </c>
      <c r="F29" s="119">
        <v>0</v>
      </c>
    </row>
    <row r="30" spans="1:6" outlineLevel="1" x14ac:dyDescent="0.25">
      <c r="A30" s="701"/>
      <c r="B30" s="702"/>
      <c r="C30" s="702"/>
      <c r="D30" s="68" t="s">
        <v>31</v>
      </c>
      <c r="E30" s="72">
        <f t="shared" si="1"/>
        <v>0</v>
      </c>
      <c r="F30" s="119">
        <v>0</v>
      </c>
    </row>
    <row r="31" spans="1:6" outlineLevel="1" x14ac:dyDescent="0.25">
      <c r="A31" s="701"/>
      <c r="B31" s="702"/>
      <c r="C31" s="702"/>
      <c r="D31" s="68" t="s">
        <v>32</v>
      </c>
      <c r="E31" s="72">
        <f t="shared" si="1"/>
        <v>0</v>
      </c>
      <c r="F31" s="119">
        <v>0</v>
      </c>
    </row>
    <row r="32" spans="1:6" outlineLevel="1" x14ac:dyDescent="0.25">
      <c r="A32" s="701"/>
      <c r="B32" s="702"/>
      <c r="C32" s="702"/>
      <c r="D32" s="68" t="s">
        <v>33</v>
      </c>
      <c r="E32" s="72">
        <f t="shared" si="1"/>
        <v>0</v>
      </c>
      <c r="F32" s="119">
        <v>0</v>
      </c>
    </row>
    <row r="33" spans="1:6" ht="15.75" outlineLevel="1" thickBot="1" x14ac:dyDescent="0.3">
      <c r="A33" s="701"/>
      <c r="B33" s="702"/>
      <c r="C33" s="702"/>
      <c r="D33" s="69" t="s">
        <v>34</v>
      </c>
      <c r="E33" s="72">
        <f t="shared" si="1"/>
        <v>0</v>
      </c>
      <c r="F33" s="120">
        <v>0</v>
      </c>
    </row>
    <row r="34" spans="1:6" ht="15.75" thickBot="1" x14ac:dyDescent="0.3">
      <c r="A34" s="707" t="s">
        <v>89</v>
      </c>
      <c r="B34" s="707"/>
      <c r="C34" s="707"/>
      <c r="D34" s="76"/>
      <c r="E34" s="77">
        <f t="shared" ref="E34:F34" si="2">SUM(E35:E84)</f>
        <v>144000</v>
      </c>
      <c r="F34" s="78">
        <f t="shared" si="2"/>
        <v>144000</v>
      </c>
    </row>
    <row r="35" spans="1:6" outlineLevel="1" x14ac:dyDescent="0.25">
      <c r="A35" s="701" t="s">
        <v>94</v>
      </c>
      <c r="B35" s="702" t="s">
        <v>81</v>
      </c>
      <c r="C35" s="702">
        <v>635002</v>
      </c>
      <c r="D35" s="67" t="s">
        <v>25</v>
      </c>
      <c r="E35" s="71">
        <f t="shared" ref="E35:E66" si="3">SUM(F35:F35)</f>
        <v>48000</v>
      </c>
      <c r="F35" s="118">
        <f>40000*1.2</f>
        <v>48000</v>
      </c>
    </row>
    <row r="36" spans="1:6" outlineLevel="1" x14ac:dyDescent="0.25">
      <c r="A36" s="701"/>
      <c r="B36" s="702"/>
      <c r="C36" s="702"/>
      <c r="D36" s="68" t="s">
        <v>26</v>
      </c>
      <c r="E36" s="72">
        <f t="shared" si="3"/>
        <v>48000</v>
      </c>
      <c r="F36" s="119">
        <f>40000*1.2</f>
        <v>48000</v>
      </c>
    </row>
    <row r="37" spans="1:6" outlineLevel="1" x14ac:dyDescent="0.25">
      <c r="A37" s="701"/>
      <c r="B37" s="702"/>
      <c r="C37" s="702"/>
      <c r="D37" s="68" t="s">
        <v>27</v>
      </c>
      <c r="E37" s="72">
        <f t="shared" si="3"/>
        <v>48000</v>
      </c>
      <c r="F37" s="119">
        <f>40000*1.2</f>
        <v>48000</v>
      </c>
    </row>
    <row r="38" spans="1:6" outlineLevel="1" x14ac:dyDescent="0.25">
      <c r="A38" s="701"/>
      <c r="B38" s="702"/>
      <c r="C38" s="702"/>
      <c r="D38" s="68" t="s">
        <v>28</v>
      </c>
      <c r="E38" s="72">
        <f t="shared" si="3"/>
        <v>0</v>
      </c>
      <c r="F38" s="119"/>
    </row>
    <row r="39" spans="1:6" outlineLevel="1" x14ac:dyDescent="0.25">
      <c r="A39" s="701"/>
      <c r="B39" s="702"/>
      <c r="C39" s="702"/>
      <c r="D39" s="68" t="s">
        <v>29</v>
      </c>
      <c r="E39" s="72">
        <f t="shared" si="3"/>
        <v>0</v>
      </c>
      <c r="F39" s="119"/>
    </row>
    <row r="40" spans="1:6" outlineLevel="1" x14ac:dyDescent="0.25">
      <c r="A40" s="701"/>
      <c r="B40" s="702"/>
      <c r="C40" s="702"/>
      <c r="D40" s="68" t="s">
        <v>30</v>
      </c>
      <c r="E40" s="72">
        <f t="shared" si="3"/>
        <v>0</v>
      </c>
      <c r="F40" s="119"/>
    </row>
    <row r="41" spans="1:6" outlineLevel="1" x14ac:dyDescent="0.25">
      <c r="A41" s="701"/>
      <c r="B41" s="702"/>
      <c r="C41" s="702"/>
      <c r="D41" s="68" t="s">
        <v>31</v>
      </c>
      <c r="E41" s="72">
        <f t="shared" si="3"/>
        <v>0</v>
      </c>
      <c r="F41" s="119"/>
    </row>
    <row r="42" spans="1:6" outlineLevel="1" x14ac:dyDescent="0.25">
      <c r="A42" s="701"/>
      <c r="B42" s="702"/>
      <c r="C42" s="702"/>
      <c r="D42" s="68" t="s">
        <v>32</v>
      </c>
      <c r="E42" s="72">
        <f t="shared" si="3"/>
        <v>0</v>
      </c>
      <c r="F42" s="119"/>
    </row>
    <row r="43" spans="1:6" outlineLevel="1" x14ac:dyDescent="0.25">
      <c r="A43" s="701"/>
      <c r="B43" s="702"/>
      <c r="C43" s="702"/>
      <c r="D43" s="68" t="s">
        <v>33</v>
      </c>
      <c r="E43" s="72">
        <f t="shared" si="3"/>
        <v>0</v>
      </c>
      <c r="F43" s="119"/>
    </row>
    <row r="44" spans="1:6" ht="15.75" outlineLevel="1" thickBot="1" x14ac:dyDescent="0.3">
      <c r="A44" s="701"/>
      <c r="B44" s="702"/>
      <c r="C44" s="702"/>
      <c r="D44" s="69" t="s">
        <v>34</v>
      </c>
      <c r="E44" s="73">
        <f t="shared" si="3"/>
        <v>0</v>
      </c>
      <c r="F44" s="120"/>
    </row>
    <row r="45" spans="1:6" outlineLevel="1" x14ac:dyDescent="0.25">
      <c r="A45" s="701" t="s">
        <v>95</v>
      </c>
      <c r="B45" s="701" t="s">
        <v>93</v>
      </c>
      <c r="C45" s="702">
        <v>718002</v>
      </c>
      <c r="D45" s="67" t="s">
        <v>25</v>
      </c>
      <c r="E45" s="72">
        <f t="shared" si="3"/>
        <v>0</v>
      </c>
      <c r="F45" s="118">
        <v>0</v>
      </c>
    </row>
    <row r="46" spans="1:6" outlineLevel="1" x14ac:dyDescent="0.25">
      <c r="A46" s="701"/>
      <c r="B46" s="702"/>
      <c r="C46" s="702"/>
      <c r="D46" s="68" t="s">
        <v>26</v>
      </c>
      <c r="E46" s="72">
        <f t="shared" si="3"/>
        <v>0</v>
      </c>
      <c r="F46" s="119">
        <v>0</v>
      </c>
    </row>
    <row r="47" spans="1:6" outlineLevel="1" x14ac:dyDescent="0.25">
      <c r="A47" s="701"/>
      <c r="B47" s="702"/>
      <c r="C47" s="702"/>
      <c r="D47" s="68" t="s">
        <v>27</v>
      </c>
      <c r="E47" s="72">
        <f t="shared" si="3"/>
        <v>0</v>
      </c>
      <c r="F47" s="119">
        <v>0</v>
      </c>
    </row>
    <row r="48" spans="1:6" outlineLevel="1" x14ac:dyDescent="0.25">
      <c r="A48" s="701"/>
      <c r="B48" s="702"/>
      <c r="C48" s="702"/>
      <c r="D48" s="68" t="s">
        <v>28</v>
      </c>
      <c r="E48" s="72">
        <f t="shared" si="3"/>
        <v>0</v>
      </c>
      <c r="F48" s="119">
        <v>0</v>
      </c>
    </row>
    <row r="49" spans="1:6" outlineLevel="1" x14ac:dyDescent="0.25">
      <c r="A49" s="701"/>
      <c r="B49" s="702"/>
      <c r="C49" s="702"/>
      <c r="D49" s="68" t="s">
        <v>29</v>
      </c>
      <c r="E49" s="72">
        <f t="shared" si="3"/>
        <v>0</v>
      </c>
      <c r="F49" s="119">
        <v>0</v>
      </c>
    </row>
    <row r="50" spans="1:6" outlineLevel="1" x14ac:dyDescent="0.25">
      <c r="A50" s="701"/>
      <c r="B50" s="702"/>
      <c r="C50" s="702"/>
      <c r="D50" s="68" t="s">
        <v>30</v>
      </c>
      <c r="E50" s="72">
        <f t="shared" si="3"/>
        <v>0</v>
      </c>
      <c r="F50" s="119">
        <v>0</v>
      </c>
    </row>
    <row r="51" spans="1:6" outlineLevel="1" x14ac:dyDescent="0.25">
      <c r="A51" s="701"/>
      <c r="B51" s="702"/>
      <c r="C51" s="702"/>
      <c r="D51" s="68" t="s">
        <v>31</v>
      </c>
      <c r="E51" s="72">
        <f t="shared" si="3"/>
        <v>0</v>
      </c>
      <c r="F51" s="119">
        <v>0</v>
      </c>
    </row>
    <row r="52" spans="1:6" outlineLevel="1" x14ac:dyDescent="0.25">
      <c r="A52" s="701"/>
      <c r="B52" s="702"/>
      <c r="C52" s="702"/>
      <c r="D52" s="68" t="s">
        <v>32</v>
      </c>
      <c r="E52" s="72">
        <f t="shared" si="3"/>
        <v>0</v>
      </c>
      <c r="F52" s="119">
        <v>0</v>
      </c>
    </row>
    <row r="53" spans="1:6" outlineLevel="1" x14ac:dyDescent="0.25">
      <c r="A53" s="701"/>
      <c r="B53" s="702"/>
      <c r="C53" s="702"/>
      <c r="D53" s="68" t="s">
        <v>33</v>
      </c>
      <c r="E53" s="72">
        <f t="shared" si="3"/>
        <v>0</v>
      </c>
      <c r="F53" s="119">
        <v>0</v>
      </c>
    </row>
    <row r="54" spans="1:6" ht="15.75" outlineLevel="1" thickBot="1" x14ac:dyDescent="0.3">
      <c r="A54" s="701"/>
      <c r="B54" s="702"/>
      <c r="C54" s="702"/>
      <c r="D54" s="69" t="s">
        <v>34</v>
      </c>
      <c r="E54" s="73">
        <f t="shared" si="3"/>
        <v>0</v>
      </c>
      <c r="F54" s="120">
        <v>0</v>
      </c>
    </row>
    <row r="55" spans="1:6" outlineLevel="1" x14ac:dyDescent="0.25">
      <c r="A55" s="701" t="s">
        <v>96</v>
      </c>
      <c r="B55" s="702"/>
      <c r="C55" s="702"/>
      <c r="D55" s="67" t="s">
        <v>25</v>
      </c>
      <c r="E55" s="72">
        <f t="shared" si="3"/>
        <v>0</v>
      </c>
      <c r="F55" s="118">
        <v>0</v>
      </c>
    </row>
    <row r="56" spans="1:6" outlineLevel="1" x14ac:dyDescent="0.25">
      <c r="A56" s="701"/>
      <c r="B56" s="702"/>
      <c r="C56" s="702"/>
      <c r="D56" s="68" t="s">
        <v>26</v>
      </c>
      <c r="E56" s="72">
        <f t="shared" si="3"/>
        <v>0</v>
      </c>
      <c r="F56" s="119">
        <v>0</v>
      </c>
    </row>
    <row r="57" spans="1:6" outlineLevel="1" x14ac:dyDescent="0.25">
      <c r="A57" s="701"/>
      <c r="B57" s="702"/>
      <c r="C57" s="702"/>
      <c r="D57" s="68" t="s">
        <v>27</v>
      </c>
      <c r="E57" s="72">
        <f t="shared" si="3"/>
        <v>0</v>
      </c>
      <c r="F57" s="119">
        <v>0</v>
      </c>
    </row>
    <row r="58" spans="1:6" outlineLevel="1" x14ac:dyDescent="0.25">
      <c r="A58" s="701"/>
      <c r="B58" s="702"/>
      <c r="C58" s="702"/>
      <c r="D58" s="68" t="s">
        <v>28</v>
      </c>
      <c r="E58" s="72">
        <f t="shared" si="3"/>
        <v>0</v>
      </c>
      <c r="F58" s="119">
        <v>0</v>
      </c>
    </row>
    <row r="59" spans="1:6" outlineLevel="1" x14ac:dyDescent="0.25">
      <c r="A59" s="701"/>
      <c r="B59" s="702"/>
      <c r="C59" s="702"/>
      <c r="D59" s="68" t="s">
        <v>29</v>
      </c>
      <c r="E59" s="72">
        <f t="shared" si="3"/>
        <v>0</v>
      </c>
      <c r="F59" s="119">
        <v>0</v>
      </c>
    </row>
    <row r="60" spans="1:6" outlineLevel="1" x14ac:dyDescent="0.25">
      <c r="A60" s="701"/>
      <c r="B60" s="702"/>
      <c r="C60" s="702"/>
      <c r="D60" s="68" t="s">
        <v>30</v>
      </c>
      <c r="E60" s="72">
        <f t="shared" si="3"/>
        <v>0</v>
      </c>
      <c r="F60" s="119">
        <v>0</v>
      </c>
    </row>
    <row r="61" spans="1:6" outlineLevel="1" x14ac:dyDescent="0.25">
      <c r="A61" s="701"/>
      <c r="B61" s="702"/>
      <c r="C61" s="702"/>
      <c r="D61" s="68" t="s">
        <v>31</v>
      </c>
      <c r="E61" s="72">
        <f t="shared" si="3"/>
        <v>0</v>
      </c>
      <c r="F61" s="119">
        <v>0</v>
      </c>
    </row>
    <row r="62" spans="1:6" outlineLevel="1" x14ac:dyDescent="0.25">
      <c r="A62" s="701"/>
      <c r="B62" s="702"/>
      <c r="C62" s="702"/>
      <c r="D62" s="68" t="s">
        <v>32</v>
      </c>
      <c r="E62" s="72">
        <f t="shared" si="3"/>
        <v>0</v>
      </c>
      <c r="F62" s="119">
        <v>0</v>
      </c>
    </row>
    <row r="63" spans="1:6" outlineLevel="1" x14ac:dyDescent="0.25">
      <c r="A63" s="701"/>
      <c r="B63" s="702"/>
      <c r="C63" s="702"/>
      <c r="D63" s="68" t="s">
        <v>33</v>
      </c>
      <c r="E63" s="72">
        <f t="shared" si="3"/>
        <v>0</v>
      </c>
      <c r="F63" s="119">
        <v>0</v>
      </c>
    </row>
    <row r="64" spans="1:6" ht="15.75" outlineLevel="1" thickBot="1" x14ac:dyDescent="0.3">
      <c r="A64" s="701"/>
      <c r="B64" s="702"/>
      <c r="C64" s="702"/>
      <c r="D64" s="69" t="s">
        <v>34</v>
      </c>
      <c r="E64" s="73">
        <f t="shared" si="3"/>
        <v>0</v>
      </c>
      <c r="F64" s="120">
        <v>0</v>
      </c>
    </row>
    <row r="65" spans="1:6" outlineLevel="1" x14ac:dyDescent="0.25">
      <c r="A65" s="701" t="s">
        <v>97</v>
      </c>
      <c r="B65" s="702"/>
      <c r="C65" s="702"/>
      <c r="D65" s="67" t="s">
        <v>25</v>
      </c>
      <c r="E65" s="72">
        <f t="shared" si="3"/>
        <v>0</v>
      </c>
      <c r="F65" s="118">
        <v>0</v>
      </c>
    </row>
    <row r="66" spans="1:6" outlineLevel="1" x14ac:dyDescent="0.25">
      <c r="A66" s="701"/>
      <c r="B66" s="702"/>
      <c r="C66" s="702"/>
      <c r="D66" s="68" t="s">
        <v>26</v>
      </c>
      <c r="E66" s="72">
        <f t="shared" si="3"/>
        <v>0</v>
      </c>
      <c r="F66" s="119">
        <v>0</v>
      </c>
    </row>
    <row r="67" spans="1:6" outlineLevel="1" x14ac:dyDescent="0.25">
      <c r="A67" s="701"/>
      <c r="B67" s="702"/>
      <c r="C67" s="702"/>
      <c r="D67" s="68" t="s">
        <v>27</v>
      </c>
      <c r="E67" s="72">
        <f t="shared" ref="E67:E84" si="4">SUM(F67:F67)</f>
        <v>0</v>
      </c>
      <c r="F67" s="119">
        <v>0</v>
      </c>
    </row>
    <row r="68" spans="1:6" outlineLevel="1" x14ac:dyDescent="0.25">
      <c r="A68" s="701"/>
      <c r="B68" s="702"/>
      <c r="C68" s="702"/>
      <c r="D68" s="68" t="s">
        <v>28</v>
      </c>
      <c r="E68" s="72">
        <f t="shared" si="4"/>
        <v>0</v>
      </c>
      <c r="F68" s="119">
        <v>0</v>
      </c>
    </row>
    <row r="69" spans="1:6" outlineLevel="1" x14ac:dyDescent="0.25">
      <c r="A69" s="701"/>
      <c r="B69" s="702"/>
      <c r="C69" s="702"/>
      <c r="D69" s="68" t="s">
        <v>29</v>
      </c>
      <c r="E69" s="72">
        <f t="shared" si="4"/>
        <v>0</v>
      </c>
      <c r="F69" s="119">
        <v>0</v>
      </c>
    </row>
    <row r="70" spans="1:6" outlineLevel="1" x14ac:dyDescent="0.25">
      <c r="A70" s="701"/>
      <c r="B70" s="702"/>
      <c r="C70" s="702"/>
      <c r="D70" s="68" t="s">
        <v>30</v>
      </c>
      <c r="E70" s="72">
        <f t="shared" si="4"/>
        <v>0</v>
      </c>
      <c r="F70" s="119">
        <v>0</v>
      </c>
    </row>
    <row r="71" spans="1:6" outlineLevel="1" x14ac:dyDescent="0.25">
      <c r="A71" s="701"/>
      <c r="B71" s="702"/>
      <c r="C71" s="702"/>
      <c r="D71" s="68" t="s">
        <v>31</v>
      </c>
      <c r="E71" s="72">
        <f t="shared" si="4"/>
        <v>0</v>
      </c>
      <c r="F71" s="119">
        <v>0</v>
      </c>
    </row>
    <row r="72" spans="1:6" outlineLevel="1" x14ac:dyDescent="0.25">
      <c r="A72" s="701"/>
      <c r="B72" s="702"/>
      <c r="C72" s="702"/>
      <c r="D72" s="68" t="s">
        <v>32</v>
      </c>
      <c r="E72" s="72">
        <f t="shared" si="4"/>
        <v>0</v>
      </c>
      <c r="F72" s="119">
        <v>0</v>
      </c>
    </row>
    <row r="73" spans="1:6" outlineLevel="1" x14ac:dyDescent="0.25">
      <c r="A73" s="701"/>
      <c r="B73" s="702"/>
      <c r="C73" s="702"/>
      <c r="D73" s="68" t="s">
        <v>33</v>
      </c>
      <c r="E73" s="72">
        <f t="shared" si="4"/>
        <v>0</v>
      </c>
      <c r="F73" s="119">
        <v>0</v>
      </c>
    </row>
    <row r="74" spans="1:6" ht="15.75" outlineLevel="1" thickBot="1" x14ac:dyDescent="0.3">
      <c r="A74" s="701"/>
      <c r="B74" s="702"/>
      <c r="C74" s="702"/>
      <c r="D74" s="69" t="s">
        <v>34</v>
      </c>
      <c r="E74" s="73">
        <f t="shared" si="4"/>
        <v>0</v>
      </c>
      <c r="F74" s="120">
        <v>0</v>
      </c>
    </row>
    <row r="75" spans="1:6" outlineLevel="1" x14ac:dyDescent="0.25">
      <c r="A75" s="701" t="s">
        <v>92</v>
      </c>
      <c r="B75" s="702" t="s">
        <v>78</v>
      </c>
      <c r="C75" s="702">
        <v>637001</v>
      </c>
      <c r="D75" s="67" t="s">
        <v>25</v>
      </c>
      <c r="E75" s="72">
        <f t="shared" si="4"/>
        <v>0</v>
      </c>
      <c r="F75" s="118">
        <v>0</v>
      </c>
    </row>
    <row r="76" spans="1:6" outlineLevel="1" x14ac:dyDescent="0.25">
      <c r="A76" s="701"/>
      <c r="B76" s="702"/>
      <c r="C76" s="702"/>
      <c r="D76" s="68" t="s">
        <v>26</v>
      </c>
      <c r="E76" s="72">
        <f t="shared" si="4"/>
        <v>0</v>
      </c>
      <c r="F76" s="119">
        <v>0</v>
      </c>
    </row>
    <row r="77" spans="1:6" outlineLevel="1" x14ac:dyDescent="0.25">
      <c r="A77" s="701"/>
      <c r="B77" s="702"/>
      <c r="C77" s="702"/>
      <c r="D77" s="68" t="s">
        <v>27</v>
      </c>
      <c r="E77" s="72">
        <f t="shared" si="4"/>
        <v>0</v>
      </c>
      <c r="F77" s="119">
        <v>0</v>
      </c>
    </row>
    <row r="78" spans="1:6" outlineLevel="1" x14ac:dyDescent="0.25">
      <c r="A78" s="701"/>
      <c r="B78" s="702"/>
      <c r="C78" s="702"/>
      <c r="D78" s="68" t="s">
        <v>28</v>
      </c>
      <c r="E78" s="72">
        <f t="shared" si="4"/>
        <v>0</v>
      </c>
      <c r="F78" s="119">
        <v>0</v>
      </c>
    </row>
    <row r="79" spans="1:6" outlineLevel="1" x14ac:dyDescent="0.25">
      <c r="A79" s="701"/>
      <c r="B79" s="702"/>
      <c r="C79" s="702"/>
      <c r="D79" s="68" t="s">
        <v>29</v>
      </c>
      <c r="E79" s="72">
        <f t="shared" si="4"/>
        <v>0</v>
      </c>
      <c r="F79" s="119">
        <v>0</v>
      </c>
    </row>
    <row r="80" spans="1:6" outlineLevel="1" x14ac:dyDescent="0.25">
      <c r="A80" s="701"/>
      <c r="B80" s="702"/>
      <c r="C80" s="702"/>
      <c r="D80" s="68" t="s">
        <v>30</v>
      </c>
      <c r="E80" s="72">
        <f t="shared" si="4"/>
        <v>0</v>
      </c>
      <c r="F80" s="119">
        <v>0</v>
      </c>
    </row>
    <row r="81" spans="1:6" outlineLevel="1" x14ac:dyDescent="0.25">
      <c r="A81" s="701"/>
      <c r="B81" s="702"/>
      <c r="C81" s="702"/>
      <c r="D81" s="68" t="s">
        <v>31</v>
      </c>
      <c r="E81" s="72">
        <f t="shared" si="4"/>
        <v>0</v>
      </c>
      <c r="F81" s="119">
        <v>0</v>
      </c>
    </row>
    <row r="82" spans="1:6" outlineLevel="1" x14ac:dyDescent="0.25">
      <c r="A82" s="701"/>
      <c r="B82" s="702"/>
      <c r="C82" s="702"/>
      <c r="D82" s="68" t="s">
        <v>32</v>
      </c>
      <c r="E82" s="72">
        <f t="shared" si="4"/>
        <v>0</v>
      </c>
      <c r="F82" s="119">
        <v>0</v>
      </c>
    </row>
    <row r="83" spans="1:6" outlineLevel="1" x14ac:dyDescent="0.25">
      <c r="A83" s="701"/>
      <c r="B83" s="702"/>
      <c r="C83" s="702"/>
      <c r="D83" s="68" t="s">
        <v>33</v>
      </c>
      <c r="E83" s="72">
        <f t="shared" si="4"/>
        <v>0</v>
      </c>
      <c r="F83" s="119">
        <v>0</v>
      </c>
    </row>
    <row r="84" spans="1:6" ht="15.75" outlineLevel="1" thickBot="1" x14ac:dyDescent="0.3">
      <c r="A84" s="701"/>
      <c r="B84" s="702"/>
      <c r="C84" s="702"/>
      <c r="D84" s="69" t="s">
        <v>34</v>
      </c>
      <c r="E84" s="73">
        <f t="shared" si="4"/>
        <v>0</v>
      </c>
      <c r="F84" s="120">
        <v>0</v>
      </c>
    </row>
  </sheetData>
  <mergeCells count="27">
    <mergeCell ref="A3:C3"/>
    <mergeCell ref="A24:A33"/>
    <mergeCell ref="B24:B33"/>
    <mergeCell ref="C24:C33"/>
    <mergeCell ref="A34:C34"/>
    <mergeCell ref="A4:A13"/>
    <mergeCell ref="B4:B13"/>
    <mergeCell ref="C4:C13"/>
    <mergeCell ref="A14:A23"/>
    <mergeCell ref="B14:B23"/>
    <mergeCell ref="C14:C23"/>
    <mergeCell ref="A1:D1"/>
    <mergeCell ref="A65:A74"/>
    <mergeCell ref="B65:B74"/>
    <mergeCell ref="C65:C74"/>
    <mergeCell ref="A75:A84"/>
    <mergeCell ref="B75:B84"/>
    <mergeCell ref="C75:C84"/>
    <mergeCell ref="A45:A54"/>
    <mergeCell ref="B45:B54"/>
    <mergeCell ref="C45:C54"/>
    <mergeCell ref="A55:A64"/>
    <mergeCell ref="B55:B64"/>
    <mergeCell ref="C55:C64"/>
    <mergeCell ref="A35:A44"/>
    <mergeCell ref="B35:B44"/>
    <mergeCell ref="C35:C44"/>
  </mergeCells>
  <phoneticPr fontId="74" type="noConversion"/>
  <pageMargins left="0.7" right="0.7" top="0.75" bottom="0.75" header="0.3" footer="0.3"/>
  <pageSetup paperSize="9" scale="39" orientation="portrait" r:id="rId1"/>
  <ignoredErrors>
    <ignoredError sqref="E34" formula="1"/>
  </ignoredError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AI21"/>
  <sheetViews>
    <sheetView view="pageBreakPreview" zoomScale="171" zoomScaleSheetLayoutView="171" workbookViewId="0">
      <selection activeCell="AF29" sqref="AF29"/>
    </sheetView>
  </sheetViews>
  <sheetFormatPr defaultColWidth="8.7109375" defaultRowHeight="12" x14ac:dyDescent="0.2"/>
  <cols>
    <col min="1" max="1" width="20.85546875" style="131" bestFit="1" customWidth="1"/>
    <col min="2" max="2" width="12.85546875" style="131" bestFit="1" customWidth="1"/>
    <col min="3" max="3" width="3.28515625" style="131" customWidth="1"/>
    <col min="4" max="20" width="3.7109375" style="131" customWidth="1"/>
    <col min="21" max="25" width="3.7109375" style="131" hidden="1" customWidth="1"/>
    <col min="26" max="31" width="8" style="131" customWidth="1"/>
    <col min="32" max="32" width="10" style="131" customWidth="1"/>
    <col min="33" max="33" width="10.7109375" style="132" customWidth="1"/>
    <col min="34" max="34" width="10.7109375" style="514" customWidth="1"/>
    <col min="35" max="35" width="10.7109375" style="131" customWidth="1"/>
    <col min="36" max="16384" width="8.7109375" style="131"/>
  </cols>
  <sheetData>
    <row r="1" spans="1:35" ht="12.75" thickBot="1" x14ac:dyDescent="0.25"/>
    <row r="2" spans="1:35" ht="36.75" customHeight="1" x14ac:dyDescent="0.2">
      <c r="A2" s="277" t="s">
        <v>121</v>
      </c>
      <c r="B2" s="278" t="s">
        <v>1</v>
      </c>
      <c r="C2" s="268" t="s">
        <v>122</v>
      </c>
      <c r="D2" s="269" t="s">
        <v>123</v>
      </c>
      <c r="E2" s="269" t="s">
        <v>124</v>
      </c>
      <c r="F2" s="269" t="s">
        <v>125</v>
      </c>
      <c r="G2" s="269" t="s">
        <v>126</v>
      </c>
      <c r="H2" s="269" t="s">
        <v>127</v>
      </c>
      <c r="I2" s="269" t="s">
        <v>128</v>
      </c>
      <c r="J2" s="269" t="s">
        <v>129</v>
      </c>
      <c r="K2" s="269" t="s">
        <v>130</v>
      </c>
      <c r="L2" s="269" t="s">
        <v>131</v>
      </c>
      <c r="M2" s="269" t="s">
        <v>132</v>
      </c>
      <c r="N2" s="270" t="s">
        <v>133</v>
      </c>
      <c r="O2" s="269" t="s">
        <v>134</v>
      </c>
      <c r="P2" s="269" t="s">
        <v>135</v>
      </c>
      <c r="Q2" s="269" t="s">
        <v>136</v>
      </c>
      <c r="R2" s="269" t="s">
        <v>137</v>
      </c>
      <c r="S2" s="269" t="s">
        <v>138</v>
      </c>
      <c r="T2" s="269" t="s">
        <v>139</v>
      </c>
      <c r="U2" s="269" t="s">
        <v>140</v>
      </c>
      <c r="V2" s="269" t="s">
        <v>141</v>
      </c>
      <c r="W2" s="269" t="s">
        <v>142</v>
      </c>
      <c r="X2" s="269" t="s">
        <v>143</v>
      </c>
      <c r="Y2" s="270" t="s">
        <v>144</v>
      </c>
      <c r="Z2" s="254" t="s">
        <v>145</v>
      </c>
      <c r="AA2" s="255" t="s">
        <v>146</v>
      </c>
      <c r="AB2" s="255" t="s">
        <v>147</v>
      </c>
      <c r="AC2" s="255" t="s">
        <v>148</v>
      </c>
      <c r="AD2" s="255" t="s">
        <v>149</v>
      </c>
      <c r="AE2" s="255" t="s">
        <v>150</v>
      </c>
      <c r="AF2" s="254" t="s">
        <v>151</v>
      </c>
      <c r="AG2" s="247" t="s">
        <v>152</v>
      </c>
      <c r="AI2" s="133"/>
    </row>
    <row r="3" spans="1:35" ht="14.25" customHeight="1" x14ac:dyDescent="0.2">
      <c r="A3" s="134"/>
      <c r="B3" s="135"/>
      <c r="C3" s="271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3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3"/>
      <c r="Z3" s="256"/>
      <c r="AA3" s="257"/>
      <c r="AB3" s="257"/>
      <c r="AC3" s="257"/>
      <c r="AD3" s="257"/>
      <c r="AE3" s="257"/>
      <c r="AF3" s="256"/>
      <c r="AG3" s="265"/>
      <c r="AI3" s="138"/>
    </row>
    <row r="4" spans="1:35" x14ac:dyDescent="0.2">
      <c r="A4" s="279" t="s">
        <v>397</v>
      </c>
      <c r="B4" s="139"/>
      <c r="C4" s="299" t="s">
        <v>261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4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4"/>
      <c r="Z4" s="258"/>
      <c r="AA4" s="259"/>
      <c r="AB4" s="259"/>
      <c r="AC4" s="259"/>
      <c r="AD4" s="259"/>
      <c r="AE4" s="259"/>
      <c r="AF4" s="511"/>
      <c r="AG4" s="512"/>
    </row>
    <row r="5" spans="1:35" ht="12.75" x14ac:dyDescent="0.2">
      <c r="A5" s="280" t="s">
        <v>315</v>
      </c>
      <c r="B5" s="139" t="s">
        <v>387</v>
      </c>
      <c r="C5" s="262"/>
      <c r="D5" s="263"/>
      <c r="E5" s="263"/>
      <c r="F5" s="263"/>
      <c r="G5" s="263">
        <v>1</v>
      </c>
      <c r="H5" s="263">
        <v>1</v>
      </c>
      <c r="I5" s="263"/>
      <c r="J5" s="263"/>
      <c r="K5" s="263"/>
      <c r="L5" s="263"/>
      <c r="M5" s="263"/>
      <c r="N5" s="263"/>
      <c r="O5" s="262"/>
      <c r="P5" s="263"/>
      <c r="Q5" s="263"/>
      <c r="R5" s="263"/>
      <c r="S5" s="263"/>
      <c r="T5" s="263"/>
      <c r="U5" s="263"/>
      <c r="V5" s="263"/>
      <c r="W5" s="263"/>
      <c r="X5" s="263"/>
      <c r="Y5" s="263"/>
      <c r="Z5" s="515">
        <f>COUNTA(C5:Y5)*21</f>
        <v>42</v>
      </c>
      <c r="AA5" s="516">
        <f>COUNTA(C5:Y5)*21</f>
        <v>42</v>
      </c>
      <c r="AB5" s="275"/>
      <c r="AC5" s="275">
        <v>1</v>
      </c>
      <c r="AD5" s="275"/>
      <c r="AE5" s="461">
        <f>750*1.2</f>
        <v>900</v>
      </c>
      <c r="AF5" s="513">
        <f>Z5*AB5*AD5</f>
        <v>0</v>
      </c>
      <c r="AG5" s="514">
        <f t="shared" ref="AG5:AG17" si="0">AA5*AC5*AE5</f>
        <v>37800</v>
      </c>
      <c r="AH5" s="514">
        <f>AF5+AG5*1.2</f>
        <v>45360</v>
      </c>
    </row>
    <row r="6" spans="1:35" ht="12.75" x14ac:dyDescent="0.2">
      <c r="A6" s="280" t="s">
        <v>315</v>
      </c>
      <c r="B6" s="139" t="s">
        <v>398</v>
      </c>
      <c r="C6" s="262"/>
      <c r="D6" s="263"/>
      <c r="E6" s="263"/>
      <c r="F6" s="263"/>
      <c r="G6" s="263">
        <v>1</v>
      </c>
      <c r="H6" s="263">
        <v>1</v>
      </c>
      <c r="I6" s="263"/>
      <c r="J6" s="263"/>
      <c r="K6" s="263"/>
      <c r="L6" s="263"/>
      <c r="M6" s="263"/>
      <c r="N6" s="263"/>
      <c r="O6" s="262"/>
      <c r="P6" s="263"/>
      <c r="Q6" s="263"/>
      <c r="R6" s="263"/>
      <c r="S6" s="263"/>
      <c r="T6" s="263"/>
      <c r="U6" s="263"/>
      <c r="V6" s="263"/>
      <c r="W6" s="263"/>
      <c r="X6" s="263"/>
      <c r="Y6" s="263"/>
      <c r="Z6" s="515">
        <f t="shared" ref="Z6" si="1">COUNTA(C6:Y6)*21</f>
        <v>42</v>
      </c>
      <c r="AA6" s="516">
        <f t="shared" ref="AA6" si="2">COUNTA(C6:Y6)*21</f>
        <v>42</v>
      </c>
      <c r="AB6" s="275"/>
      <c r="AC6" s="275">
        <v>1</v>
      </c>
      <c r="AD6" s="275"/>
      <c r="AE6" s="461">
        <f t="shared" ref="AE6:AE11" si="3">900*1.2</f>
        <v>1080</v>
      </c>
      <c r="AF6" s="513">
        <f t="shared" ref="AF6:AF7" si="4">Z6*AB6*AD6</f>
        <v>0</v>
      </c>
      <c r="AG6" s="514">
        <f t="shared" ref="AG6:AG7" si="5">AA6*AC6*AE6</f>
        <v>45360</v>
      </c>
      <c r="AH6" s="514">
        <f t="shared" ref="AH6:AH12" si="6">AF6+AG6*1.2</f>
        <v>54432</v>
      </c>
    </row>
    <row r="7" spans="1:35" ht="12.75" x14ac:dyDescent="0.2">
      <c r="A7" s="280" t="s">
        <v>315</v>
      </c>
      <c r="B7" s="139" t="s">
        <v>399</v>
      </c>
      <c r="C7" s="262"/>
      <c r="D7" s="263"/>
      <c r="E7" s="263"/>
      <c r="F7" s="263"/>
      <c r="G7" s="263">
        <v>1</v>
      </c>
      <c r="H7" s="263">
        <v>1</v>
      </c>
      <c r="I7" s="263"/>
      <c r="J7" s="263"/>
      <c r="K7" s="263"/>
      <c r="L7" s="263"/>
      <c r="M7" s="263"/>
      <c r="N7" s="263"/>
      <c r="O7" s="262"/>
      <c r="P7" s="263"/>
      <c r="Q7" s="263"/>
      <c r="R7" s="263"/>
      <c r="S7" s="263"/>
      <c r="T7" s="263"/>
      <c r="U7" s="263"/>
      <c r="V7" s="263"/>
      <c r="W7" s="263"/>
      <c r="X7" s="263"/>
      <c r="Y7" s="263"/>
      <c r="Z7" s="515">
        <f t="shared" ref="Z7" si="7">COUNTA(C7:Y7)*21</f>
        <v>42</v>
      </c>
      <c r="AA7" s="516">
        <f t="shared" ref="AA7" si="8">COUNTA(C7:Y7)*21</f>
        <v>42</v>
      </c>
      <c r="AB7" s="275"/>
      <c r="AC7" s="275">
        <v>2</v>
      </c>
      <c r="AD7" s="275"/>
      <c r="AE7" s="461">
        <f t="shared" si="3"/>
        <v>1080</v>
      </c>
      <c r="AF7" s="513">
        <f t="shared" si="4"/>
        <v>0</v>
      </c>
      <c r="AG7" s="514">
        <f t="shared" si="5"/>
        <v>90720</v>
      </c>
      <c r="AH7" s="514">
        <f t="shared" si="6"/>
        <v>108864</v>
      </c>
    </row>
    <row r="8" spans="1:35" ht="12.75" x14ac:dyDescent="0.2">
      <c r="A8" s="280" t="s">
        <v>370</v>
      </c>
      <c r="B8" s="139" t="s">
        <v>398</v>
      </c>
      <c r="C8" s="262"/>
      <c r="D8" s="263"/>
      <c r="E8" s="263"/>
      <c r="F8" s="263"/>
      <c r="G8" s="263"/>
      <c r="H8" s="263"/>
      <c r="I8" s="263">
        <v>1</v>
      </c>
      <c r="J8" s="263">
        <v>1</v>
      </c>
      <c r="K8" s="263">
        <v>1</v>
      </c>
      <c r="L8" s="263">
        <v>1</v>
      </c>
      <c r="M8" s="263">
        <v>1</v>
      </c>
      <c r="N8" s="263">
        <v>1</v>
      </c>
      <c r="O8" s="262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515">
        <f t="shared" ref="Z8:Z12" si="9">COUNTA(C8:Y8)*21</f>
        <v>126</v>
      </c>
      <c r="AA8" s="516">
        <f t="shared" ref="AA8:AA12" si="10">COUNTA(C8:Y8)*21</f>
        <v>126</v>
      </c>
      <c r="AB8" s="275"/>
      <c r="AC8" s="275">
        <v>3</v>
      </c>
      <c r="AD8" s="275"/>
      <c r="AE8" s="461">
        <f t="shared" si="3"/>
        <v>1080</v>
      </c>
      <c r="AF8" s="513">
        <f t="shared" ref="AF8:AF12" si="11">Z8*AB8*AD8</f>
        <v>0</v>
      </c>
      <c r="AG8" s="514">
        <f t="shared" ref="AG8:AG12" si="12">AA8*AC8*AE8</f>
        <v>408240</v>
      </c>
      <c r="AH8" s="514">
        <f t="shared" si="6"/>
        <v>489888</v>
      </c>
    </row>
    <row r="9" spans="1:35" ht="12.75" x14ac:dyDescent="0.2">
      <c r="A9" s="280" t="s">
        <v>371</v>
      </c>
      <c r="B9" s="139" t="s">
        <v>398</v>
      </c>
      <c r="C9" s="262"/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>
        <v>1</v>
      </c>
      <c r="O9" s="262">
        <v>1</v>
      </c>
      <c r="P9" s="263"/>
      <c r="Q9" s="263"/>
      <c r="R9" s="263"/>
      <c r="S9" s="263"/>
      <c r="T9" s="263"/>
      <c r="U9" s="263"/>
      <c r="V9" s="263"/>
      <c r="W9" s="263"/>
      <c r="X9" s="263"/>
      <c r="Y9" s="263"/>
      <c r="Z9" s="515">
        <f>COUNTA(C9:Y9)*21</f>
        <v>42</v>
      </c>
      <c r="AA9" s="516">
        <f>COUNTA(C9:Y9)*21</f>
        <v>42</v>
      </c>
      <c r="AB9" s="275"/>
      <c r="AC9" s="275">
        <v>2</v>
      </c>
      <c r="AD9" s="275"/>
      <c r="AE9" s="461">
        <f t="shared" si="3"/>
        <v>1080</v>
      </c>
      <c r="AF9" s="513">
        <f>Z9*AB9*AD9</f>
        <v>0</v>
      </c>
      <c r="AG9" s="514">
        <f>AA9*AC9*AE9</f>
        <v>90720</v>
      </c>
      <c r="AH9" s="514">
        <f>AF9+AG9*1.2</f>
        <v>108864</v>
      </c>
    </row>
    <row r="10" spans="1:35" ht="12.75" x14ac:dyDescent="0.2">
      <c r="A10" s="280" t="s">
        <v>153</v>
      </c>
      <c r="B10" s="139" t="s">
        <v>398</v>
      </c>
      <c r="C10" s="262"/>
      <c r="D10" s="263"/>
      <c r="E10" s="263"/>
      <c r="F10" s="263"/>
      <c r="G10" s="263"/>
      <c r="H10" s="263"/>
      <c r="I10" s="263"/>
      <c r="J10" s="263"/>
      <c r="K10" s="263"/>
      <c r="L10" s="263">
        <v>1</v>
      </c>
      <c r="M10" s="263">
        <v>1</v>
      </c>
      <c r="N10" s="263">
        <v>1</v>
      </c>
      <c r="O10" s="262">
        <v>1</v>
      </c>
      <c r="P10" s="263"/>
      <c r="Q10" s="263"/>
      <c r="R10" s="263"/>
      <c r="S10" s="263"/>
      <c r="T10" s="263"/>
      <c r="U10" s="263"/>
      <c r="V10" s="263"/>
      <c r="W10" s="263"/>
      <c r="X10" s="263"/>
      <c r="Y10" s="263"/>
      <c r="Z10" s="515">
        <f t="shared" si="9"/>
        <v>84</v>
      </c>
      <c r="AA10" s="516">
        <f t="shared" si="10"/>
        <v>84</v>
      </c>
      <c r="AB10" s="275"/>
      <c r="AC10" s="275">
        <v>2</v>
      </c>
      <c r="AD10" s="275"/>
      <c r="AE10" s="461">
        <f t="shared" si="3"/>
        <v>1080</v>
      </c>
      <c r="AF10" s="513">
        <f t="shared" si="11"/>
        <v>0</v>
      </c>
      <c r="AG10" s="514">
        <f t="shared" si="12"/>
        <v>181440</v>
      </c>
      <c r="AH10" s="514">
        <f t="shared" si="6"/>
        <v>217728</v>
      </c>
    </row>
    <row r="11" spans="1:35" ht="12.75" x14ac:dyDescent="0.2">
      <c r="A11" s="280" t="s">
        <v>153</v>
      </c>
      <c r="B11" s="139" t="s">
        <v>399</v>
      </c>
      <c r="C11" s="262"/>
      <c r="D11" s="263"/>
      <c r="E11" s="263"/>
      <c r="F11" s="263"/>
      <c r="G11" s="263"/>
      <c r="H11" s="263"/>
      <c r="I11" s="263"/>
      <c r="J11" s="263"/>
      <c r="K11" s="263"/>
      <c r="L11" s="263">
        <v>1</v>
      </c>
      <c r="M11" s="263">
        <v>1</v>
      </c>
      <c r="N11" s="263"/>
      <c r="O11" s="262"/>
      <c r="P11" s="263"/>
      <c r="Q11" s="263"/>
      <c r="R11" s="263"/>
      <c r="S11" s="263"/>
      <c r="T11" s="263"/>
      <c r="U11" s="263"/>
      <c r="V11" s="263"/>
      <c r="W11" s="263"/>
      <c r="X11" s="263"/>
      <c r="Y11" s="263"/>
      <c r="Z11" s="515">
        <f t="shared" si="9"/>
        <v>42</v>
      </c>
      <c r="AA11" s="516">
        <f t="shared" si="10"/>
        <v>42</v>
      </c>
      <c r="AB11" s="275"/>
      <c r="AC11" s="275">
        <v>2</v>
      </c>
      <c r="AD11" s="275"/>
      <c r="AE11" s="461">
        <f t="shared" si="3"/>
        <v>1080</v>
      </c>
      <c r="AF11" s="513">
        <f t="shared" si="11"/>
        <v>0</v>
      </c>
      <c r="AG11" s="514">
        <f t="shared" si="12"/>
        <v>90720</v>
      </c>
      <c r="AH11" s="514">
        <f t="shared" si="6"/>
        <v>108864</v>
      </c>
    </row>
    <row r="12" spans="1:35" ht="12.75" x14ac:dyDescent="0.2">
      <c r="A12" s="280" t="s">
        <v>153</v>
      </c>
      <c r="B12" s="139" t="s">
        <v>400</v>
      </c>
      <c r="C12" s="262"/>
      <c r="D12" s="263"/>
      <c r="E12" s="263"/>
      <c r="F12" s="263"/>
      <c r="G12" s="263"/>
      <c r="H12" s="263"/>
      <c r="I12" s="263"/>
      <c r="J12" s="263"/>
      <c r="K12" s="263"/>
      <c r="L12" s="263">
        <v>1</v>
      </c>
      <c r="M12" s="263">
        <v>1</v>
      </c>
      <c r="N12" s="263"/>
      <c r="O12" s="262"/>
      <c r="P12" s="263"/>
      <c r="Q12" s="263"/>
      <c r="R12" s="263"/>
      <c r="S12" s="263"/>
      <c r="T12" s="263"/>
      <c r="U12" s="263"/>
      <c r="V12" s="263"/>
      <c r="W12" s="263"/>
      <c r="X12" s="263"/>
      <c r="Y12" s="263"/>
      <c r="Z12" s="515">
        <f t="shared" si="9"/>
        <v>42</v>
      </c>
      <c r="AA12" s="516">
        <f t="shared" si="10"/>
        <v>42</v>
      </c>
      <c r="AB12" s="275"/>
      <c r="AC12" s="275">
        <v>1</v>
      </c>
      <c r="AD12" s="275"/>
      <c r="AE12" s="461">
        <f>850*1.2</f>
        <v>1020</v>
      </c>
      <c r="AF12" s="513">
        <f t="shared" si="11"/>
        <v>0</v>
      </c>
      <c r="AG12" s="514">
        <f t="shared" si="12"/>
        <v>42840</v>
      </c>
      <c r="AH12" s="514">
        <f t="shared" si="6"/>
        <v>51408</v>
      </c>
    </row>
    <row r="13" spans="1:35" ht="12.75" x14ac:dyDescent="0.2">
      <c r="A13" s="280"/>
      <c r="B13" s="139"/>
      <c r="C13" s="262"/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4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463"/>
      <c r="AA13" s="464"/>
      <c r="AB13" s="260"/>
      <c r="AC13" s="260"/>
      <c r="AD13" s="260"/>
      <c r="AE13" s="462" t="s">
        <v>389</v>
      </c>
      <c r="AF13" s="513">
        <f>SUM(AF4:AF12)</f>
        <v>0</v>
      </c>
      <c r="AG13" s="513">
        <f>SUM(AG4:AG12)</f>
        <v>987840</v>
      </c>
      <c r="AH13" s="513">
        <f>SUM(AH4:AH12)</f>
        <v>1185408</v>
      </c>
    </row>
    <row r="14" spans="1:35" x14ac:dyDescent="0.2">
      <c r="A14" s="279" t="s">
        <v>385</v>
      </c>
      <c r="B14" s="139"/>
      <c r="C14" s="262"/>
      <c r="D14" s="263"/>
      <c r="E14" s="263"/>
      <c r="F14" s="263"/>
      <c r="G14" s="263"/>
      <c r="H14" s="263"/>
      <c r="I14" s="263"/>
      <c r="J14" s="263"/>
      <c r="K14" s="263"/>
      <c r="L14" s="263"/>
      <c r="M14" s="263"/>
      <c r="N14" s="264"/>
      <c r="O14" s="263"/>
      <c r="P14" s="263"/>
      <c r="Q14" s="263"/>
      <c r="R14" s="263"/>
      <c r="S14" s="263"/>
      <c r="T14" s="263"/>
      <c r="U14" s="263"/>
      <c r="V14" s="263"/>
      <c r="W14" s="263"/>
      <c r="X14" s="263"/>
      <c r="Y14" s="263"/>
      <c r="Z14" s="463"/>
      <c r="AA14" s="464"/>
      <c r="AB14" s="260"/>
      <c r="AC14" s="260"/>
      <c r="AD14" s="260"/>
      <c r="AE14" s="462"/>
      <c r="AF14" s="513">
        <f t="shared" ref="AF14:AF15" si="13">Z14*AB14*AD14</f>
        <v>0</v>
      </c>
      <c r="AG14" s="514">
        <f t="shared" ref="AG14:AG15" si="14">AA14*AC14*AE14</f>
        <v>0</v>
      </c>
      <c r="AH14" s="514">
        <f t="shared" ref="AH14" si="15">AG14*1.2</f>
        <v>0</v>
      </c>
    </row>
    <row r="15" spans="1:35" ht="12.75" x14ac:dyDescent="0.2">
      <c r="A15" s="280" t="s">
        <v>386</v>
      </c>
      <c r="B15" s="139" t="s">
        <v>388</v>
      </c>
      <c r="C15" s="262"/>
      <c r="D15" s="263"/>
      <c r="E15" s="263"/>
      <c r="F15" s="263"/>
      <c r="G15" s="263">
        <v>1</v>
      </c>
      <c r="H15" s="263"/>
      <c r="I15" s="263"/>
      <c r="J15" s="263">
        <v>1</v>
      </c>
      <c r="K15" s="263"/>
      <c r="L15" s="263"/>
      <c r="M15" s="263">
        <v>1</v>
      </c>
      <c r="N15" s="263"/>
      <c r="O15" s="262">
        <v>1</v>
      </c>
      <c r="P15" s="263"/>
      <c r="Q15" s="263"/>
      <c r="R15" s="263"/>
      <c r="S15" s="263"/>
      <c r="T15" s="263"/>
      <c r="U15" s="263"/>
      <c r="V15" s="263"/>
      <c r="W15" s="263"/>
      <c r="X15" s="263"/>
      <c r="Y15" s="263"/>
      <c r="Z15" s="515">
        <f t="shared" ref="Z15" si="16">COUNTA(C15:Y15)*21</f>
        <v>84</v>
      </c>
      <c r="AA15" s="516">
        <f t="shared" ref="AA15" si="17">COUNTA(C15:Y15)*21</f>
        <v>84</v>
      </c>
      <c r="AB15" s="275"/>
      <c r="AC15" s="275">
        <v>1</v>
      </c>
      <c r="AD15" s="275"/>
      <c r="AE15" s="461">
        <f>750*1.2</f>
        <v>900</v>
      </c>
      <c r="AF15" s="513">
        <f t="shared" si="13"/>
        <v>0</v>
      </c>
      <c r="AG15" s="514">
        <f t="shared" si="14"/>
        <v>75600</v>
      </c>
      <c r="AH15" s="514">
        <f t="shared" ref="AH15" si="18">AF15+AG15*1.2</f>
        <v>90720</v>
      </c>
      <c r="AI15" s="140"/>
    </row>
    <row r="16" spans="1:35" ht="12.75" x14ac:dyDescent="0.2">
      <c r="A16" s="280"/>
      <c r="C16" s="262"/>
      <c r="D16" s="263"/>
      <c r="E16" s="263"/>
      <c r="F16" s="263"/>
      <c r="G16" s="263"/>
      <c r="H16" s="263"/>
      <c r="I16" s="263"/>
      <c r="J16" s="263"/>
      <c r="K16" s="263"/>
      <c r="L16" s="263"/>
      <c r="M16" s="263"/>
      <c r="N16" s="264"/>
      <c r="O16" s="263"/>
      <c r="P16" s="263"/>
      <c r="Q16" s="263"/>
      <c r="R16" s="263"/>
      <c r="S16" s="263"/>
      <c r="T16" s="263"/>
      <c r="U16" s="263"/>
      <c r="V16" s="263"/>
      <c r="W16" s="263"/>
      <c r="X16" s="263"/>
      <c r="Y16" s="263"/>
      <c r="Z16" s="463"/>
      <c r="AA16" s="464"/>
      <c r="AB16" s="260"/>
      <c r="AC16" s="260"/>
      <c r="AD16" s="260"/>
      <c r="AE16" s="462" t="s">
        <v>389</v>
      </c>
      <c r="AF16" s="513">
        <f>SUM(AF13:AF15)</f>
        <v>0</v>
      </c>
      <c r="AG16" s="513">
        <f>SUM(AG15:AG15)</f>
        <v>75600</v>
      </c>
      <c r="AH16" s="513">
        <f>SUM(AH15:AH15)</f>
        <v>90720</v>
      </c>
      <c r="AI16" s="140"/>
    </row>
    <row r="17" spans="1:35" ht="13.5" thickBot="1" x14ac:dyDescent="0.25">
      <c r="A17" s="280"/>
      <c r="B17" s="139"/>
      <c r="C17" s="262"/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4"/>
      <c r="O17" s="263"/>
      <c r="P17" s="263"/>
      <c r="Q17" s="263"/>
      <c r="R17" s="263"/>
      <c r="S17" s="263"/>
      <c r="T17" s="263"/>
      <c r="U17" s="263"/>
      <c r="V17" s="263"/>
      <c r="W17" s="263"/>
      <c r="X17" s="263"/>
      <c r="Y17" s="263"/>
      <c r="Z17" s="463"/>
      <c r="AA17" s="464"/>
      <c r="AB17" s="260"/>
      <c r="AC17" s="260"/>
      <c r="AD17" s="260"/>
      <c r="AE17" s="462"/>
      <c r="AF17" s="513">
        <f t="shared" ref="AF17" si="19">Z17*AB17*AD17</f>
        <v>0</v>
      </c>
      <c r="AG17" s="514">
        <f t="shared" si="0"/>
        <v>0</v>
      </c>
      <c r="AH17" s="514">
        <f t="shared" ref="AH17" si="20">AG17*1.2</f>
        <v>0</v>
      </c>
      <c r="AI17" s="140"/>
    </row>
    <row r="18" spans="1:35" ht="12.75" thickBot="1" x14ac:dyDescent="0.25">
      <c r="A18" s="281" t="s">
        <v>156</v>
      </c>
      <c r="B18" s="141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  <c r="S18" s="274"/>
      <c r="T18" s="274"/>
      <c r="U18" s="274"/>
      <c r="V18" s="274"/>
      <c r="W18" s="274"/>
      <c r="X18" s="274"/>
      <c r="Y18" s="274"/>
      <c r="Z18" s="261"/>
      <c r="AA18" s="261"/>
      <c r="AB18" s="261"/>
      <c r="AC18" s="261"/>
      <c r="AD18" s="261"/>
      <c r="AE18" s="261"/>
      <c r="AF18" s="509">
        <f>AF13+AF16</f>
        <v>0</v>
      </c>
      <c r="AG18" s="510">
        <f>AG13+AG16</f>
        <v>1063440</v>
      </c>
      <c r="AH18" s="510">
        <f>AH16+AH13</f>
        <v>1276128</v>
      </c>
      <c r="AI18" s="142"/>
    </row>
    <row r="19" spans="1:35" x14ac:dyDescent="0.2">
      <c r="AI19" s="143"/>
    </row>
    <row r="21" spans="1:35" ht="15.75" x14ac:dyDescent="0.25">
      <c r="AG21" s="144"/>
    </row>
  </sheetData>
  <phoneticPr fontId="74" type="noConversion"/>
  <conditionalFormatting sqref="C4:Y4 C5:E7 I5:Y7 C8:Y17">
    <cfRule type="colorScale" priority="253">
      <colorScale>
        <cfvo type="num" val="0"/>
        <cfvo type="num" val="1"/>
        <color theme="0"/>
        <color theme="2" tint="-0.249977111117893"/>
      </colorScale>
    </cfRule>
  </conditionalFormatting>
  <conditionalFormatting sqref="F5:H7">
    <cfRule type="colorScale" priority="1">
      <colorScale>
        <cfvo type="num" val="0"/>
        <cfvo type="num" val="1"/>
        <color theme="0"/>
        <color theme="2" tint="-0.249977111117893"/>
      </colorScale>
    </cfRule>
  </conditionalFormatting>
  <dataValidations count="1">
    <dataValidation type="list" allowBlank="1" showInputMessage="1" showErrorMessage="1" sqref="B5:B15">
      <formula1>Pozicie</formula1>
    </dataValidation>
  </dataValidations>
  <pageMargins left="0.7" right="0.7" top="0.75" bottom="0.75" header="0.3" footer="0.3"/>
  <pageSetup paperSize="9" scale="3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F27"/>
  <sheetViews>
    <sheetView view="pageBreakPreview" zoomScale="130" zoomScaleSheetLayoutView="130" workbookViewId="0">
      <selection activeCell="A7" sqref="A7"/>
    </sheetView>
  </sheetViews>
  <sheetFormatPr defaultColWidth="8.85546875" defaultRowHeight="15" x14ac:dyDescent="0.25"/>
  <cols>
    <col min="1" max="1" width="51.42578125" customWidth="1"/>
    <col min="2" max="2" width="13.42578125" bestFit="1" customWidth="1"/>
    <col min="4" max="4" width="18.28515625" bestFit="1" customWidth="1"/>
    <col min="5" max="5" width="16" bestFit="1" customWidth="1"/>
    <col min="6" max="6" width="48.85546875" customWidth="1"/>
  </cols>
  <sheetData>
    <row r="1" spans="1:6" ht="15.75" thickBot="1" x14ac:dyDescent="0.3"/>
    <row r="2" spans="1:6" ht="15.75" thickBot="1" x14ac:dyDescent="0.3">
      <c r="A2" s="491" t="s">
        <v>327</v>
      </c>
      <c r="B2" s="491" t="s">
        <v>328</v>
      </c>
      <c r="C2" s="491" t="s">
        <v>329</v>
      </c>
      <c r="D2" s="494" t="s">
        <v>330</v>
      </c>
      <c r="E2" s="494" t="s">
        <v>331</v>
      </c>
      <c r="F2" s="491" t="s">
        <v>332</v>
      </c>
    </row>
    <row r="3" spans="1:6" x14ac:dyDescent="0.25">
      <c r="A3" s="280" t="s">
        <v>395</v>
      </c>
      <c r="B3" s="492" t="s">
        <v>333</v>
      </c>
      <c r="C3" s="492">
        <v>1</v>
      </c>
      <c r="D3" s="495">
        <v>800000</v>
      </c>
      <c r="E3" s="493">
        <f t="shared" ref="E3:E27" si="0">D3*C3</f>
        <v>800000</v>
      </c>
      <c r="F3" s="582" t="s">
        <v>367</v>
      </c>
    </row>
    <row r="4" spans="1:6" x14ac:dyDescent="0.25">
      <c r="A4" s="280"/>
      <c r="B4" s="492"/>
      <c r="C4" s="492"/>
      <c r="D4" s="495"/>
      <c r="E4" s="493">
        <f t="shared" si="0"/>
        <v>0</v>
      </c>
      <c r="F4" s="582"/>
    </row>
    <row r="5" spans="1:6" x14ac:dyDescent="0.25">
      <c r="A5" s="280"/>
      <c r="B5" s="492"/>
      <c r="C5" s="492"/>
      <c r="D5" s="495"/>
      <c r="E5" s="493">
        <f t="shared" si="0"/>
        <v>0</v>
      </c>
      <c r="F5" s="582"/>
    </row>
    <row r="6" spans="1:6" x14ac:dyDescent="0.25">
      <c r="A6" s="280"/>
      <c r="B6" s="492"/>
      <c r="C6" s="492"/>
      <c r="D6" s="495"/>
      <c r="E6" s="493">
        <f t="shared" si="0"/>
        <v>0</v>
      </c>
      <c r="F6" s="582"/>
    </row>
    <row r="7" spans="1:6" x14ac:dyDescent="0.25">
      <c r="A7" s="280"/>
      <c r="B7" s="492"/>
      <c r="C7" s="492"/>
      <c r="D7" s="495"/>
      <c r="E7" s="493">
        <f t="shared" si="0"/>
        <v>0</v>
      </c>
      <c r="F7" s="582"/>
    </row>
    <row r="8" spans="1:6" x14ac:dyDescent="0.25">
      <c r="A8" s="280"/>
      <c r="B8" s="492"/>
      <c r="C8" s="492"/>
      <c r="D8" s="495"/>
      <c r="E8" s="493">
        <f t="shared" si="0"/>
        <v>0</v>
      </c>
      <c r="F8" s="582"/>
    </row>
    <row r="9" spans="1:6" x14ac:dyDescent="0.25">
      <c r="A9" s="280"/>
      <c r="B9" s="492"/>
      <c r="C9" s="492"/>
      <c r="D9" s="495"/>
      <c r="E9" s="493">
        <f t="shared" si="0"/>
        <v>0</v>
      </c>
      <c r="F9" s="582"/>
    </row>
    <row r="10" spans="1:6" x14ac:dyDescent="0.25">
      <c r="A10" s="280"/>
      <c r="B10" s="492"/>
      <c r="C10" s="492"/>
      <c r="D10" s="495"/>
      <c r="E10" s="493">
        <f t="shared" si="0"/>
        <v>0</v>
      </c>
      <c r="F10" s="582"/>
    </row>
    <row r="11" spans="1:6" x14ac:dyDescent="0.25">
      <c r="A11" s="280"/>
      <c r="B11" s="492"/>
      <c r="C11" s="492"/>
      <c r="D11" s="495"/>
      <c r="E11" s="493">
        <f t="shared" si="0"/>
        <v>0</v>
      </c>
      <c r="F11" s="582"/>
    </row>
    <row r="12" spans="1:6" x14ac:dyDescent="0.25">
      <c r="A12" s="280"/>
      <c r="B12" s="492"/>
      <c r="C12" s="492"/>
      <c r="D12" s="495"/>
      <c r="E12" s="493">
        <f t="shared" si="0"/>
        <v>0</v>
      </c>
      <c r="F12" s="582"/>
    </row>
    <row r="13" spans="1:6" x14ac:dyDescent="0.25">
      <c r="A13" s="280"/>
      <c r="B13" s="492"/>
      <c r="C13" s="492"/>
      <c r="D13" s="495"/>
      <c r="E13" s="493">
        <f t="shared" si="0"/>
        <v>0</v>
      </c>
      <c r="F13" s="582"/>
    </row>
    <row r="14" spans="1:6" x14ac:dyDescent="0.25">
      <c r="A14" s="280"/>
      <c r="B14" s="492"/>
      <c r="C14" s="492"/>
      <c r="D14" s="495"/>
      <c r="E14" s="493">
        <f t="shared" si="0"/>
        <v>0</v>
      </c>
      <c r="F14" s="490"/>
    </row>
    <row r="15" spans="1:6" x14ac:dyDescent="0.25">
      <c r="A15" s="280"/>
      <c r="B15" s="492"/>
      <c r="C15" s="492"/>
      <c r="D15" s="495"/>
      <c r="E15" s="493">
        <f t="shared" si="0"/>
        <v>0</v>
      </c>
      <c r="F15" s="490"/>
    </row>
    <row r="16" spans="1:6" x14ac:dyDescent="0.25">
      <c r="A16" s="280"/>
      <c r="B16" s="492"/>
      <c r="C16" s="492"/>
      <c r="D16" s="495"/>
      <c r="E16" s="493">
        <f t="shared" si="0"/>
        <v>0</v>
      </c>
      <c r="F16" s="490"/>
    </row>
    <row r="17" spans="1:6" x14ac:dyDescent="0.25">
      <c r="A17" s="280"/>
      <c r="B17" s="492"/>
      <c r="C17" s="492"/>
      <c r="D17" s="495"/>
      <c r="E17" s="493">
        <f t="shared" si="0"/>
        <v>0</v>
      </c>
      <c r="F17" s="490"/>
    </row>
    <row r="18" spans="1:6" x14ac:dyDescent="0.25">
      <c r="A18" s="280"/>
      <c r="B18" s="492"/>
      <c r="C18" s="492"/>
      <c r="D18" s="495"/>
      <c r="E18" s="493">
        <f t="shared" si="0"/>
        <v>0</v>
      </c>
      <c r="F18" s="490"/>
    </row>
    <row r="19" spans="1:6" x14ac:dyDescent="0.25">
      <c r="A19" s="280"/>
      <c r="B19" s="492"/>
      <c r="C19" s="492"/>
      <c r="D19" s="495"/>
      <c r="E19" s="493">
        <f t="shared" si="0"/>
        <v>0</v>
      </c>
      <c r="F19" s="490"/>
    </row>
    <row r="20" spans="1:6" x14ac:dyDescent="0.25">
      <c r="A20" s="280"/>
      <c r="B20" s="492"/>
      <c r="C20" s="492"/>
      <c r="D20" s="495"/>
      <c r="E20" s="493">
        <f t="shared" si="0"/>
        <v>0</v>
      </c>
      <c r="F20" s="490"/>
    </row>
    <row r="21" spans="1:6" x14ac:dyDescent="0.25">
      <c r="A21" s="280"/>
      <c r="B21" s="492"/>
      <c r="C21" s="492"/>
      <c r="D21" s="495"/>
      <c r="E21" s="493">
        <f t="shared" si="0"/>
        <v>0</v>
      </c>
      <c r="F21" s="490"/>
    </row>
    <row r="22" spans="1:6" x14ac:dyDescent="0.25">
      <c r="A22" s="280"/>
      <c r="B22" s="492"/>
      <c r="C22" s="492"/>
      <c r="D22" s="495"/>
      <c r="E22" s="493">
        <f t="shared" si="0"/>
        <v>0</v>
      </c>
      <c r="F22" s="490"/>
    </row>
    <row r="23" spans="1:6" x14ac:dyDescent="0.25">
      <c r="A23" s="280"/>
      <c r="B23" s="492"/>
      <c r="C23" s="492"/>
      <c r="D23" s="495"/>
      <c r="E23" s="493">
        <f t="shared" si="0"/>
        <v>0</v>
      </c>
      <c r="F23" s="490"/>
    </row>
    <row r="24" spans="1:6" x14ac:dyDescent="0.25">
      <c r="A24" s="280"/>
      <c r="B24" s="492"/>
      <c r="C24" s="492"/>
      <c r="D24" s="495"/>
      <c r="E24" s="493">
        <f t="shared" si="0"/>
        <v>0</v>
      </c>
      <c r="F24" s="490"/>
    </row>
    <row r="25" spans="1:6" x14ac:dyDescent="0.25">
      <c r="A25" s="280"/>
      <c r="B25" s="492"/>
      <c r="C25" s="492"/>
      <c r="D25" s="495"/>
      <c r="E25" s="493">
        <f t="shared" si="0"/>
        <v>0</v>
      </c>
      <c r="F25" s="490"/>
    </row>
    <row r="26" spans="1:6" x14ac:dyDescent="0.25">
      <c r="A26" s="280"/>
      <c r="B26" s="492"/>
      <c r="C26" s="492"/>
      <c r="D26" s="495"/>
      <c r="E26" s="493">
        <f t="shared" si="0"/>
        <v>0</v>
      </c>
      <c r="F26" s="490"/>
    </row>
    <row r="27" spans="1:6" x14ac:dyDescent="0.25">
      <c r="A27" s="280"/>
      <c r="B27" s="492"/>
      <c r="C27" s="492"/>
      <c r="D27" s="495"/>
      <c r="E27" s="493">
        <f t="shared" si="0"/>
        <v>0</v>
      </c>
      <c r="F27" s="490"/>
    </row>
  </sheetData>
  <phoneticPr fontId="74" type="noConversion"/>
  <pageMargins left="0.7" right="0.7" top="0.75" bottom="0.75" header="0.3" footer="0.3"/>
  <pageSetup paperSize="9" scale="5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CC"/>
  </sheetPr>
  <dimension ref="A1:AQ15"/>
  <sheetViews>
    <sheetView view="pageBreakPreview" zoomScale="116" zoomScaleNormal="80" zoomScaleSheetLayoutView="272" workbookViewId="0">
      <selection activeCell="J32" sqref="J32"/>
    </sheetView>
  </sheetViews>
  <sheetFormatPr defaultColWidth="8.7109375" defaultRowHeight="12" x14ac:dyDescent="0.2"/>
  <cols>
    <col min="1" max="1" width="36.28515625" style="131" customWidth="1"/>
    <col min="2" max="2" width="34.7109375" style="131" customWidth="1"/>
    <col min="3" max="3" width="3.28515625" style="131" customWidth="1"/>
    <col min="4" max="24" width="3.7109375" style="131" customWidth="1"/>
    <col min="25" max="25" width="4.42578125" style="131" customWidth="1"/>
    <col min="26" max="28" width="16.42578125" style="131" customWidth="1"/>
    <col min="29" max="29" width="18.140625" style="131" customWidth="1"/>
    <col min="30" max="30" width="9" style="131" customWidth="1"/>
    <col min="31" max="31" width="9.140625" style="131" customWidth="1"/>
    <col min="32" max="32" width="9" style="131" customWidth="1"/>
    <col min="33" max="33" width="10.7109375" style="132" customWidth="1"/>
    <col min="34" max="36" width="10.7109375" style="131" customWidth="1"/>
    <col min="37" max="37" width="52.140625" style="131" customWidth="1"/>
    <col min="38" max="38" width="51.7109375" style="131" customWidth="1"/>
    <col min="39" max="42" width="8.7109375" style="131"/>
    <col min="43" max="43" width="18.85546875" style="131" customWidth="1"/>
    <col min="44" max="16384" width="8.7109375" style="131"/>
  </cols>
  <sheetData>
    <row r="1" spans="1:43" ht="26.1" customHeight="1" thickBot="1" x14ac:dyDescent="0.25">
      <c r="A1" s="719" t="s">
        <v>209</v>
      </c>
      <c r="B1" s="719"/>
      <c r="C1" s="719"/>
      <c r="D1" s="719"/>
      <c r="E1" s="719"/>
      <c r="F1" s="719"/>
      <c r="G1" s="719"/>
      <c r="H1" s="719"/>
      <c r="I1" s="719"/>
      <c r="J1" s="719"/>
      <c r="K1" s="719"/>
      <c r="L1" s="719"/>
      <c r="M1" s="719"/>
      <c r="N1" s="719"/>
      <c r="O1" s="719"/>
      <c r="P1" s="719"/>
      <c r="Q1" s="719"/>
      <c r="R1" s="719"/>
      <c r="S1" s="719"/>
      <c r="T1" s="719"/>
      <c r="U1" s="719"/>
      <c r="V1" s="719"/>
      <c r="W1" s="719"/>
      <c r="X1" s="719"/>
      <c r="Y1" s="719"/>
      <c r="Z1" s="496"/>
      <c r="AA1" s="496"/>
      <c r="AB1" s="496"/>
      <c r="AC1" s="496"/>
      <c r="AD1" s="719" t="s">
        <v>207</v>
      </c>
      <c r="AE1" s="719"/>
      <c r="AF1" s="719"/>
      <c r="AG1" s="719"/>
      <c r="AH1" s="719"/>
      <c r="AI1" s="719"/>
      <c r="AJ1" s="719"/>
      <c r="AK1" s="719"/>
    </row>
    <row r="2" spans="1:43" ht="36" customHeight="1" thickBot="1" x14ac:dyDescent="0.25">
      <c r="A2" s="251"/>
      <c r="B2" s="250"/>
      <c r="C2" s="252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3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3"/>
      <c r="Z2" s="720" t="s">
        <v>277</v>
      </c>
      <c r="AA2" s="721"/>
      <c r="AB2" s="721"/>
      <c r="AC2" s="721"/>
      <c r="AD2" s="721"/>
      <c r="AE2" s="721"/>
      <c r="AF2" s="721"/>
      <c r="AG2" s="721"/>
      <c r="AH2" s="721"/>
      <c r="AI2" s="721"/>
      <c r="AJ2" s="721"/>
      <c r="AK2" s="722"/>
      <c r="AL2" s="711" t="s">
        <v>276</v>
      </c>
      <c r="AM2" s="712"/>
      <c r="AN2" s="712"/>
      <c r="AO2" s="712"/>
      <c r="AP2" s="712"/>
      <c r="AQ2" s="713"/>
    </row>
    <row r="3" spans="1:43" ht="36" customHeight="1" thickBot="1" x14ac:dyDescent="0.25">
      <c r="A3" s="323"/>
      <c r="B3" s="321"/>
      <c r="C3" s="322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0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0"/>
      <c r="Z3" s="711" t="s">
        <v>337</v>
      </c>
      <c r="AA3" s="712"/>
      <c r="AB3" s="712"/>
      <c r="AC3" s="712"/>
      <c r="AD3" s="711" t="s">
        <v>338</v>
      </c>
      <c r="AE3" s="712"/>
      <c r="AF3" s="712"/>
      <c r="AG3" s="712"/>
      <c r="AH3" s="712"/>
      <c r="AI3" s="712"/>
      <c r="AJ3" s="712"/>
      <c r="AK3" s="713"/>
      <c r="AL3" s="256"/>
      <c r="AM3" s="257"/>
      <c r="AN3" s="257"/>
      <c r="AO3" s="257"/>
      <c r="AP3" s="257"/>
      <c r="AQ3" s="247"/>
    </row>
    <row r="4" spans="1:43" ht="51" customHeight="1" x14ac:dyDescent="0.2">
      <c r="A4" s="323" t="s">
        <v>210</v>
      </c>
      <c r="B4" s="568" t="s">
        <v>349</v>
      </c>
      <c r="C4" s="322" t="s">
        <v>122</v>
      </c>
      <c r="D4" s="321" t="s">
        <v>123</v>
      </c>
      <c r="E4" s="321" t="s">
        <v>124</v>
      </c>
      <c r="F4" s="321" t="s">
        <v>125</v>
      </c>
      <c r="G4" s="321" t="s">
        <v>126</v>
      </c>
      <c r="H4" s="321" t="s">
        <v>127</v>
      </c>
      <c r="I4" s="321" t="s">
        <v>128</v>
      </c>
      <c r="J4" s="321" t="s">
        <v>129</v>
      </c>
      <c r="K4" s="321" t="s">
        <v>130</v>
      </c>
      <c r="L4" s="321" t="s">
        <v>131</v>
      </c>
      <c r="M4" s="321" t="s">
        <v>132</v>
      </c>
      <c r="N4" s="320" t="s">
        <v>133</v>
      </c>
      <c r="O4" s="321" t="s">
        <v>134</v>
      </c>
      <c r="P4" s="321" t="s">
        <v>135</v>
      </c>
      <c r="Q4" s="321" t="s">
        <v>136</v>
      </c>
      <c r="R4" s="321" t="s">
        <v>137</v>
      </c>
      <c r="S4" s="321" t="s">
        <v>138</v>
      </c>
      <c r="T4" s="321" t="s">
        <v>139</v>
      </c>
      <c r="U4" s="321" t="s">
        <v>140</v>
      </c>
      <c r="V4" s="321" t="s">
        <v>141</v>
      </c>
      <c r="W4" s="321" t="s">
        <v>142</v>
      </c>
      <c r="X4" s="321" t="s">
        <v>143</v>
      </c>
      <c r="Y4" s="320" t="s">
        <v>144</v>
      </c>
      <c r="Z4" s="252" t="s">
        <v>339</v>
      </c>
      <c r="AA4" s="250" t="s">
        <v>340</v>
      </c>
      <c r="AB4" s="250" t="s">
        <v>341</v>
      </c>
      <c r="AC4" s="250" t="s">
        <v>342</v>
      </c>
      <c r="AD4" s="254" t="s">
        <v>201</v>
      </c>
      <c r="AE4" s="255" t="s">
        <v>202</v>
      </c>
      <c r="AF4" s="255" t="s">
        <v>203</v>
      </c>
      <c r="AG4" s="247" t="s">
        <v>206</v>
      </c>
      <c r="AH4" s="247" t="s">
        <v>205</v>
      </c>
      <c r="AI4" s="247" t="s">
        <v>157</v>
      </c>
      <c r="AJ4" s="714" t="s">
        <v>208</v>
      </c>
      <c r="AK4" s="552" t="s">
        <v>211</v>
      </c>
      <c r="AL4" s="552" t="s">
        <v>275</v>
      </c>
      <c r="AM4" s="254" t="s">
        <v>201</v>
      </c>
      <c r="AN4" s="255" t="s">
        <v>202</v>
      </c>
      <c r="AO4" s="255" t="s">
        <v>203</v>
      </c>
      <c r="AP4" s="247" t="s">
        <v>206</v>
      </c>
      <c r="AQ4" s="717" t="s">
        <v>274</v>
      </c>
    </row>
    <row r="5" spans="1:43" ht="8.25" customHeight="1" thickBot="1" x14ac:dyDescent="0.25">
      <c r="A5" s="134"/>
      <c r="B5" s="135"/>
      <c r="C5" s="136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7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7"/>
      <c r="Z5" s="136"/>
      <c r="AA5" s="135"/>
      <c r="AB5" s="135"/>
      <c r="AC5" s="135"/>
      <c r="AD5" s="256"/>
      <c r="AE5" s="257"/>
      <c r="AF5" s="257"/>
      <c r="AG5" s="265"/>
      <c r="AH5" s="265"/>
      <c r="AI5" s="265"/>
      <c r="AJ5" s="715"/>
      <c r="AK5" s="319"/>
      <c r="AL5" s="267"/>
      <c r="AM5" s="256"/>
      <c r="AN5" s="257"/>
      <c r="AO5" s="257"/>
      <c r="AP5" s="265"/>
      <c r="AQ5" s="718"/>
    </row>
    <row r="6" spans="1:43" ht="15" customHeight="1" x14ac:dyDescent="0.2">
      <c r="A6" s="248" t="s">
        <v>204</v>
      </c>
      <c r="B6" s="248"/>
      <c r="C6" s="330"/>
      <c r="D6" s="331"/>
      <c r="E6" s="331"/>
      <c r="F6" s="331"/>
      <c r="G6" s="331"/>
      <c r="H6" s="331"/>
      <c r="I6" s="331"/>
      <c r="J6" s="331"/>
      <c r="K6" s="331"/>
      <c r="L6" s="331"/>
      <c r="M6" s="331"/>
      <c r="N6" s="332"/>
      <c r="O6" s="331"/>
      <c r="P6" s="331"/>
      <c r="Q6" s="331"/>
      <c r="R6" s="331"/>
      <c r="S6" s="331"/>
      <c r="T6" s="331"/>
      <c r="U6" s="331"/>
      <c r="V6" s="331"/>
      <c r="W6" s="331"/>
      <c r="X6" s="331"/>
      <c r="Y6" s="332"/>
      <c r="Z6" s="554"/>
      <c r="AA6" s="555"/>
      <c r="AB6" s="555"/>
      <c r="AC6" s="556"/>
      <c r="AD6" s="518"/>
      <c r="AE6" s="275"/>
      <c r="AF6" s="275"/>
      <c r="AG6" s="508">
        <f t="shared" ref="AG6:AG11" si="0">AD6*AF6+AC6</f>
        <v>0</v>
      </c>
      <c r="AH6" s="508">
        <f t="shared" ref="AH6:AH11" si="1">AE6*AF6+AC6</f>
        <v>0</v>
      </c>
      <c r="AI6" s="508">
        <f t="shared" ref="AI6:AI11" si="2">AH6-AG6</f>
        <v>0</v>
      </c>
      <c r="AJ6" s="715"/>
      <c r="AK6" s="520"/>
      <c r="AL6" s="517"/>
      <c r="AM6" s="518"/>
      <c r="AN6" s="275"/>
      <c r="AO6" s="275"/>
      <c r="AP6" s="508">
        <f t="shared" ref="AP6:AP11" si="3">AM6*AO6</f>
        <v>0</v>
      </c>
      <c r="AQ6" s="520"/>
    </row>
    <row r="7" spans="1:43" ht="15" customHeight="1" x14ac:dyDescent="0.2">
      <c r="A7" s="248" t="s">
        <v>161</v>
      </c>
      <c r="B7" s="248"/>
      <c r="C7" s="333"/>
      <c r="D7" s="334"/>
      <c r="E7" s="334"/>
      <c r="F7" s="334"/>
      <c r="G7" s="334"/>
      <c r="H7" s="334"/>
      <c r="I7" s="334"/>
      <c r="J7" s="334"/>
      <c r="K7" s="334"/>
      <c r="L7" s="334"/>
      <c r="M7" s="334"/>
      <c r="N7" s="335"/>
      <c r="O7" s="334"/>
      <c r="P7" s="334"/>
      <c r="Q7" s="334"/>
      <c r="R7" s="334"/>
      <c r="S7" s="334"/>
      <c r="T7" s="334"/>
      <c r="U7" s="334"/>
      <c r="V7" s="334"/>
      <c r="W7" s="334"/>
      <c r="X7" s="334"/>
      <c r="Y7" s="335"/>
      <c r="Z7" s="557"/>
      <c r="AA7" s="558"/>
      <c r="AB7" s="558"/>
      <c r="AC7" s="559"/>
      <c r="AD7" s="518"/>
      <c r="AE7" s="275"/>
      <c r="AF7" s="275"/>
      <c r="AG7" s="508">
        <f t="shared" si="0"/>
        <v>0</v>
      </c>
      <c r="AH7" s="508">
        <f t="shared" si="1"/>
        <v>0</v>
      </c>
      <c r="AI7" s="508">
        <f t="shared" si="2"/>
        <v>0</v>
      </c>
      <c r="AJ7" s="715"/>
      <c r="AK7" s="521"/>
      <c r="AL7" s="518"/>
      <c r="AM7" s="518"/>
      <c r="AN7" s="275"/>
      <c r="AO7" s="275"/>
      <c r="AP7" s="508">
        <f t="shared" si="3"/>
        <v>0</v>
      </c>
      <c r="AQ7" s="521"/>
    </row>
    <row r="8" spans="1:43" ht="15" customHeight="1" x14ac:dyDescent="0.2">
      <c r="A8" s="248" t="s">
        <v>162</v>
      </c>
      <c r="B8" s="248"/>
      <c r="C8" s="333"/>
      <c r="D8" s="334"/>
      <c r="E8" s="334"/>
      <c r="F8" s="334"/>
      <c r="G8" s="334"/>
      <c r="H8" s="334"/>
      <c r="I8" s="334"/>
      <c r="J8" s="334"/>
      <c r="K8" s="334"/>
      <c r="L8" s="334"/>
      <c r="M8" s="334"/>
      <c r="N8" s="335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5"/>
      <c r="Z8" s="557"/>
      <c r="AA8" s="558"/>
      <c r="AB8" s="558"/>
      <c r="AC8" s="559"/>
      <c r="AD8" s="518"/>
      <c r="AE8" s="275"/>
      <c r="AF8" s="275"/>
      <c r="AG8" s="508">
        <f t="shared" si="0"/>
        <v>0</v>
      </c>
      <c r="AH8" s="508">
        <f t="shared" si="1"/>
        <v>0</v>
      </c>
      <c r="AI8" s="508">
        <f t="shared" si="2"/>
        <v>0</v>
      </c>
      <c r="AJ8" s="715"/>
      <c r="AK8" s="521"/>
      <c r="AL8" s="518"/>
      <c r="AM8" s="518"/>
      <c r="AN8" s="275"/>
      <c r="AO8" s="275"/>
      <c r="AP8" s="508">
        <f t="shared" si="3"/>
        <v>0</v>
      </c>
      <c r="AQ8" s="521"/>
    </row>
    <row r="9" spans="1:43" ht="15" customHeight="1" x14ac:dyDescent="0.2">
      <c r="A9" s="248" t="s">
        <v>163</v>
      </c>
      <c r="B9" s="248"/>
      <c r="C9" s="333"/>
      <c r="D9" s="334"/>
      <c r="E9" s="334"/>
      <c r="F9" s="334"/>
      <c r="G9" s="334"/>
      <c r="H9" s="334"/>
      <c r="I9" s="334"/>
      <c r="J9" s="334"/>
      <c r="K9" s="334"/>
      <c r="L9" s="334"/>
      <c r="M9" s="334"/>
      <c r="N9" s="335"/>
      <c r="O9" s="334"/>
      <c r="P9" s="334"/>
      <c r="Q9" s="334"/>
      <c r="R9" s="334"/>
      <c r="S9" s="334"/>
      <c r="T9" s="334"/>
      <c r="U9" s="334"/>
      <c r="V9" s="334"/>
      <c r="W9" s="334"/>
      <c r="X9" s="334"/>
      <c r="Y9" s="335"/>
      <c r="Z9" s="557"/>
      <c r="AA9" s="558"/>
      <c r="AB9" s="558"/>
      <c r="AC9" s="559"/>
      <c r="AD9" s="518"/>
      <c r="AE9" s="275"/>
      <c r="AF9" s="275"/>
      <c r="AG9" s="508">
        <f t="shared" si="0"/>
        <v>0</v>
      </c>
      <c r="AH9" s="508">
        <f t="shared" si="1"/>
        <v>0</v>
      </c>
      <c r="AI9" s="508">
        <f t="shared" si="2"/>
        <v>0</v>
      </c>
      <c r="AJ9" s="715"/>
      <c r="AK9" s="521"/>
      <c r="AL9" s="518"/>
      <c r="AM9" s="518"/>
      <c r="AN9" s="275"/>
      <c r="AO9" s="275"/>
      <c r="AP9" s="508">
        <f t="shared" si="3"/>
        <v>0</v>
      </c>
      <c r="AQ9" s="521"/>
    </row>
    <row r="10" spans="1:43" ht="15" customHeight="1" x14ac:dyDescent="0.2">
      <c r="A10" s="248" t="s">
        <v>164</v>
      </c>
      <c r="B10" s="248"/>
      <c r="C10" s="333"/>
      <c r="D10" s="334"/>
      <c r="E10" s="334"/>
      <c r="F10" s="334"/>
      <c r="G10" s="334"/>
      <c r="H10" s="334"/>
      <c r="I10" s="334"/>
      <c r="J10" s="334"/>
      <c r="K10" s="334"/>
      <c r="L10" s="334"/>
      <c r="M10" s="334"/>
      <c r="N10" s="335"/>
      <c r="O10" s="334"/>
      <c r="P10" s="334"/>
      <c r="Q10" s="334"/>
      <c r="R10" s="334"/>
      <c r="S10" s="334"/>
      <c r="T10" s="334"/>
      <c r="U10" s="334"/>
      <c r="V10" s="334"/>
      <c r="W10" s="334"/>
      <c r="X10" s="334"/>
      <c r="Y10" s="335"/>
      <c r="Z10" s="557"/>
      <c r="AA10" s="558"/>
      <c r="AB10" s="558"/>
      <c r="AC10" s="559"/>
      <c r="AD10" s="518"/>
      <c r="AE10" s="275"/>
      <c r="AF10" s="275"/>
      <c r="AG10" s="508">
        <f t="shared" si="0"/>
        <v>0</v>
      </c>
      <c r="AH10" s="508">
        <f t="shared" si="1"/>
        <v>0</v>
      </c>
      <c r="AI10" s="508">
        <f t="shared" si="2"/>
        <v>0</v>
      </c>
      <c r="AJ10" s="715"/>
      <c r="AK10" s="521"/>
      <c r="AL10" s="518"/>
      <c r="AM10" s="518"/>
      <c r="AN10" s="275"/>
      <c r="AO10" s="275"/>
      <c r="AP10" s="508">
        <f t="shared" si="3"/>
        <v>0</v>
      </c>
      <c r="AQ10" s="521"/>
    </row>
    <row r="11" spans="1:43" ht="15.95" customHeight="1" thickBot="1" x14ac:dyDescent="0.25">
      <c r="A11" s="249" t="s">
        <v>155</v>
      </c>
      <c r="B11" s="249"/>
      <c r="C11" s="336"/>
      <c r="D11" s="337"/>
      <c r="E11" s="337"/>
      <c r="F11" s="337"/>
      <c r="G11" s="337"/>
      <c r="H11" s="337"/>
      <c r="I11" s="337"/>
      <c r="J11" s="337"/>
      <c r="K11" s="337"/>
      <c r="L11" s="337"/>
      <c r="M11" s="337"/>
      <c r="N11" s="338"/>
      <c r="O11" s="337"/>
      <c r="P11" s="337"/>
      <c r="Q11" s="337"/>
      <c r="R11" s="337"/>
      <c r="S11" s="337"/>
      <c r="T11" s="337"/>
      <c r="U11" s="337"/>
      <c r="V11" s="337"/>
      <c r="W11" s="337"/>
      <c r="X11" s="337"/>
      <c r="Y11" s="338"/>
      <c r="Z11" s="560"/>
      <c r="AA11" s="561"/>
      <c r="AB11" s="561"/>
      <c r="AC11" s="562"/>
      <c r="AD11" s="519"/>
      <c r="AE11" s="276"/>
      <c r="AF11" s="276"/>
      <c r="AG11" s="553">
        <f t="shared" si="0"/>
        <v>0</v>
      </c>
      <c r="AH11" s="553">
        <f t="shared" si="1"/>
        <v>0</v>
      </c>
      <c r="AI11" s="553">
        <f t="shared" si="2"/>
        <v>0</v>
      </c>
      <c r="AJ11" s="716"/>
      <c r="AK11" s="522"/>
      <c r="AL11" s="519"/>
      <c r="AM11" s="519"/>
      <c r="AN11" s="276"/>
      <c r="AO11" s="276"/>
      <c r="AP11" s="508">
        <f t="shared" si="3"/>
        <v>0</v>
      </c>
      <c r="AQ11" s="522"/>
    </row>
    <row r="12" spans="1:43" ht="12.75" thickBot="1" x14ac:dyDescent="0.25">
      <c r="A12" s="242" t="s">
        <v>156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551"/>
      <c r="AA12" s="551"/>
      <c r="AB12" s="551"/>
      <c r="AC12" s="551">
        <f t="shared" ref="AC12:AI12" si="4">SUM(AC6:AC11)</f>
        <v>0</v>
      </c>
      <c r="AD12" s="261">
        <f t="shared" si="4"/>
        <v>0</v>
      </c>
      <c r="AE12" s="261">
        <f t="shared" si="4"/>
        <v>0</v>
      </c>
      <c r="AF12" s="261">
        <f t="shared" si="4"/>
        <v>0</v>
      </c>
      <c r="AG12" s="266">
        <f t="shared" si="4"/>
        <v>0</v>
      </c>
      <c r="AH12" s="266">
        <f t="shared" si="4"/>
        <v>0</v>
      </c>
      <c r="AI12" s="266">
        <f t="shared" si="4"/>
        <v>0</v>
      </c>
      <c r="AJ12" s="318">
        <v>0</v>
      </c>
      <c r="AK12" s="317"/>
      <c r="AL12" s="261"/>
      <c r="AM12" s="261">
        <f>SUM(AM6:AM11)</f>
        <v>0</v>
      </c>
      <c r="AN12" s="261">
        <f>SUM(AN6:AN11)</f>
        <v>0</v>
      </c>
      <c r="AO12" s="261">
        <f>SUM(AO6:AO11)</f>
        <v>0</v>
      </c>
      <c r="AP12" s="266">
        <f>SUM(AP6:AP11)</f>
        <v>0</v>
      </c>
      <c r="AQ12" s="266"/>
    </row>
    <row r="13" spans="1:43" x14ac:dyDescent="0.2">
      <c r="AH13" s="143"/>
      <c r="AI13" s="143"/>
      <c r="AJ13" s="143"/>
    </row>
    <row r="15" spans="1:43" ht="15.75" x14ac:dyDescent="0.25">
      <c r="AG15" s="144"/>
    </row>
  </sheetData>
  <mergeCells count="8">
    <mergeCell ref="AL2:AQ2"/>
    <mergeCell ref="AJ4:AJ11"/>
    <mergeCell ref="AQ4:AQ5"/>
    <mergeCell ref="A1:Y1"/>
    <mergeCell ref="AD1:AK1"/>
    <mergeCell ref="Z2:AK2"/>
    <mergeCell ref="Z3:AC3"/>
    <mergeCell ref="AD3:AK3"/>
  </mergeCells>
  <phoneticPr fontId="74" type="noConversion"/>
  <conditionalFormatting sqref="C6:AC11">
    <cfRule type="colorScale" priority="1">
      <colorScale>
        <cfvo type="num" val="0"/>
        <cfvo type="num" val="1"/>
        <color theme="0"/>
        <color theme="2" tint="-0.249977111117893"/>
      </colorScale>
    </cfRule>
  </conditionalFormatting>
  <pageMargins left="0.7" right="0.7" top="0.75" bottom="0.75" header="0.3" footer="0.3"/>
  <pageSetup paperSize="9" scale="1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D14"/>
  <sheetViews>
    <sheetView view="pageBreakPreview" topLeftCell="A8" zoomScale="117" zoomScaleNormal="80" zoomScaleSheetLayoutView="223" workbookViewId="0">
      <selection activeCell="D14" sqref="D14"/>
    </sheetView>
  </sheetViews>
  <sheetFormatPr defaultColWidth="8.85546875" defaultRowHeight="15" x14ac:dyDescent="0.25"/>
  <cols>
    <col min="1" max="1" width="32.28515625" style="4" customWidth="1"/>
    <col min="2" max="2" width="66.7109375" style="4" customWidth="1"/>
    <col min="3" max="3" width="14.28515625" style="6" customWidth="1"/>
    <col min="4" max="4" width="23.42578125" style="4" customWidth="1"/>
    <col min="5" max="16384" width="8.85546875" style="4"/>
  </cols>
  <sheetData>
    <row r="1" spans="1:4" ht="18" thickTop="1" thickBot="1" x14ac:dyDescent="0.3">
      <c r="A1" s="1" t="s">
        <v>0</v>
      </c>
      <c r="B1" s="2" t="s">
        <v>1</v>
      </c>
      <c r="C1" s="5" t="s">
        <v>10</v>
      </c>
      <c r="D1" s="3" t="s">
        <v>2</v>
      </c>
    </row>
    <row r="2" spans="1:4" ht="147" customHeight="1" thickTop="1" thickBot="1" x14ac:dyDescent="0.3">
      <c r="A2" s="467" t="s">
        <v>3</v>
      </c>
      <c r="B2" s="468" t="s">
        <v>4</v>
      </c>
      <c r="C2" s="469" t="s">
        <v>11</v>
      </c>
      <c r="D2" s="196">
        <v>10</v>
      </c>
    </row>
    <row r="3" spans="1:4" ht="41.45" customHeight="1" x14ac:dyDescent="0.25">
      <c r="A3" s="731" t="s">
        <v>5</v>
      </c>
      <c r="B3" s="742" t="s">
        <v>14</v>
      </c>
      <c r="C3" s="744" t="s">
        <v>12</v>
      </c>
      <c r="D3" s="733">
        <v>0.04</v>
      </c>
    </row>
    <row r="4" spans="1:4" ht="63" customHeight="1" thickBot="1" x14ac:dyDescent="0.3">
      <c r="A4" s="732"/>
      <c r="B4" s="743"/>
      <c r="C4" s="745"/>
      <c r="D4" s="734"/>
    </row>
    <row r="5" spans="1:4" ht="49.5" x14ac:dyDescent="0.25">
      <c r="A5" s="731" t="s">
        <v>6</v>
      </c>
      <c r="B5" s="470" t="s">
        <v>7</v>
      </c>
      <c r="C5" s="744" t="s">
        <v>12</v>
      </c>
      <c r="D5" s="735">
        <v>0.05</v>
      </c>
    </row>
    <row r="6" spans="1:4" ht="50.25" thickBot="1" x14ac:dyDescent="0.3">
      <c r="A6" s="732"/>
      <c r="B6" s="468" t="s">
        <v>8</v>
      </c>
      <c r="C6" s="745"/>
      <c r="D6" s="736"/>
    </row>
    <row r="7" spans="1:4" ht="33.75" thickBot="1" x14ac:dyDescent="0.3">
      <c r="A7" s="471" t="s">
        <v>182</v>
      </c>
      <c r="B7" s="472" t="s">
        <v>319</v>
      </c>
      <c r="C7" s="473" t="s">
        <v>13</v>
      </c>
      <c r="D7" s="195">
        <v>1373</v>
      </c>
    </row>
    <row r="8" spans="1:4" ht="15" customHeight="1" x14ac:dyDescent="0.25">
      <c r="A8" s="737" t="s">
        <v>9</v>
      </c>
      <c r="B8" s="727" t="s">
        <v>324</v>
      </c>
      <c r="C8" s="746" t="s">
        <v>15</v>
      </c>
      <c r="D8" s="739">
        <f>$D$7*1.352/(D12/12)</f>
        <v>11.379592337164752</v>
      </c>
    </row>
    <row r="9" spans="1:4" ht="57" customHeight="1" thickBot="1" x14ac:dyDescent="0.3">
      <c r="A9" s="738"/>
      <c r="B9" s="741"/>
      <c r="C9" s="747"/>
      <c r="D9" s="740"/>
    </row>
    <row r="10" spans="1:4" x14ac:dyDescent="0.25">
      <c r="A10" s="725" t="s">
        <v>183</v>
      </c>
      <c r="B10" s="727" t="s">
        <v>320</v>
      </c>
      <c r="C10" s="723" t="s">
        <v>15</v>
      </c>
      <c r="D10" s="729">
        <v>5.55</v>
      </c>
    </row>
    <row r="11" spans="1:4" ht="20.25" customHeight="1" thickBot="1" x14ac:dyDescent="0.3">
      <c r="A11" s="726"/>
      <c r="B11" s="728"/>
      <c r="C11" s="724"/>
      <c r="D11" s="730"/>
    </row>
    <row r="12" spans="1:4" ht="72" customHeight="1" thickBot="1" x14ac:dyDescent="0.3">
      <c r="A12" s="474" t="s">
        <v>321</v>
      </c>
      <c r="B12" s="472" t="s">
        <v>326</v>
      </c>
      <c r="C12" s="475" t="s">
        <v>322</v>
      </c>
      <c r="D12" s="477">
        <v>1957.5</v>
      </c>
    </row>
    <row r="13" spans="1:4" ht="72" customHeight="1" thickBot="1" x14ac:dyDescent="0.3">
      <c r="A13" s="474" t="s">
        <v>323</v>
      </c>
      <c r="B13" s="472" t="s">
        <v>325</v>
      </c>
      <c r="C13" s="475" t="s">
        <v>322</v>
      </c>
      <c r="D13" s="476">
        <v>2088</v>
      </c>
    </row>
    <row r="14" spans="1:4" ht="21" customHeight="1" thickBot="1" x14ac:dyDescent="0.3">
      <c r="A14" s="474" t="s">
        <v>25</v>
      </c>
      <c r="B14" s="474" t="s">
        <v>112</v>
      </c>
      <c r="C14" s="475" t="s">
        <v>11</v>
      </c>
      <c r="D14" s="107">
        <v>2020</v>
      </c>
    </row>
  </sheetData>
  <mergeCells count="15">
    <mergeCell ref="C10:C11"/>
    <mergeCell ref="A10:A11"/>
    <mergeCell ref="B10:B11"/>
    <mergeCell ref="D10:D11"/>
    <mergeCell ref="A3:A4"/>
    <mergeCell ref="D3:D4"/>
    <mergeCell ref="A5:A6"/>
    <mergeCell ref="D5:D6"/>
    <mergeCell ref="A8:A9"/>
    <mergeCell ref="D8:D9"/>
    <mergeCell ref="B8:B9"/>
    <mergeCell ref="B3:B4"/>
    <mergeCell ref="C3:C4"/>
    <mergeCell ref="C8:C9"/>
    <mergeCell ref="C5:C6"/>
  </mergeCells>
  <phoneticPr fontId="74" type="noConversion"/>
  <pageMargins left="0.7" right="0.7" top="0.75" bottom="0.75" header="0.3" footer="0.3"/>
  <pageSetup paperSize="9" scale="6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T4"/>
  <sheetViews>
    <sheetView view="pageBreakPreview" zoomScale="89" zoomScaleNormal="60" zoomScaleSheetLayoutView="212" workbookViewId="0">
      <selection activeCell="Q18" sqref="Q18"/>
    </sheetView>
  </sheetViews>
  <sheetFormatPr defaultColWidth="8.85546875" defaultRowHeight="15" x14ac:dyDescent="0.25"/>
  <sheetData>
    <row r="1" spans="1:20" x14ac:dyDescent="0.25">
      <c r="A1" t="s">
        <v>225</v>
      </c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</row>
    <row r="2" spans="1:20" x14ac:dyDescent="0.25">
      <c r="A2" t="s">
        <v>226</v>
      </c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</row>
    <row r="3" spans="1:20" x14ac:dyDescent="0.25">
      <c r="A3" s="283" t="s">
        <v>227</v>
      </c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4" t="s">
        <v>168</v>
      </c>
    </row>
    <row r="4" spans="1:20" x14ac:dyDescent="0.25">
      <c r="T4" t="s">
        <v>372</v>
      </c>
    </row>
  </sheetData>
  <phoneticPr fontId="74" type="noConversion"/>
  <pageMargins left="0.7" right="0.7" top="0.75" bottom="0.75" header="0.3" footer="0.3"/>
  <pageSetup paperSize="9" scale="33" orientation="portrait" r:id="rId1"/>
  <colBreaks count="1" manualBreakCount="1">
    <brk id="15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AH70"/>
  <sheetViews>
    <sheetView view="pageBreakPreview" topLeftCell="A22" zoomScale="94" zoomScaleNormal="80" zoomScaleSheetLayoutView="143" workbookViewId="0">
      <selection activeCell="E5" sqref="E5"/>
    </sheetView>
  </sheetViews>
  <sheetFormatPr defaultColWidth="8.85546875" defaultRowHeight="15" x14ac:dyDescent="0.25"/>
  <cols>
    <col min="1" max="1" width="21.42578125" customWidth="1"/>
    <col min="2" max="2" width="33" customWidth="1"/>
    <col min="3" max="3" width="14.28515625" style="282" customWidth="1"/>
    <col min="4" max="4" width="14.140625" style="282" customWidth="1"/>
    <col min="5" max="5" width="14.85546875" style="282" customWidth="1"/>
    <col min="6" max="6" width="11.85546875" style="282" customWidth="1"/>
    <col min="7" max="7" width="15.85546875" style="282" customWidth="1"/>
    <col min="8" max="8" width="13.42578125" style="282" customWidth="1"/>
    <col min="9" max="9" width="14.140625" style="282" customWidth="1"/>
    <col min="10" max="10" width="14.85546875" style="282" customWidth="1"/>
    <col min="11" max="11" width="11.85546875" style="282" customWidth="1"/>
    <col min="12" max="12" width="15.85546875" style="282" customWidth="1"/>
    <col min="13" max="13" width="13.42578125" style="282" customWidth="1"/>
    <col min="14" max="14" width="14.140625" style="282" customWidth="1"/>
    <col min="15" max="16" width="14.85546875" style="282" customWidth="1"/>
    <col min="17" max="33" width="8.42578125" style="282" customWidth="1"/>
  </cols>
  <sheetData>
    <row r="1" spans="1:34" ht="15.75" thickBot="1" x14ac:dyDescent="0.3"/>
    <row r="2" spans="1:34" ht="48.75" customHeight="1" thickBot="1" x14ac:dyDescent="0.3">
      <c r="A2" s="285" t="s">
        <v>228</v>
      </c>
      <c r="B2" s="305" t="s">
        <v>373</v>
      </c>
      <c r="C2" s="303" t="s">
        <v>375</v>
      </c>
      <c r="D2" s="286" t="s">
        <v>376</v>
      </c>
      <c r="E2" s="286" t="s">
        <v>377</v>
      </c>
      <c r="F2" s="286" t="s">
        <v>378</v>
      </c>
      <c r="G2" s="305" t="s">
        <v>374</v>
      </c>
      <c r="H2" s="303" t="s">
        <v>375</v>
      </c>
      <c r="I2" s="286" t="s">
        <v>376</v>
      </c>
      <c r="J2" s="286" t="s">
        <v>377</v>
      </c>
      <c r="K2" s="286" t="s">
        <v>378</v>
      </c>
      <c r="L2" s="305" t="s">
        <v>366</v>
      </c>
      <c r="M2" s="303" t="s">
        <v>375</v>
      </c>
      <c r="N2" s="286" t="s">
        <v>376</v>
      </c>
      <c r="O2" s="286" t="s">
        <v>377</v>
      </c>
      <c r="P2" s="286" t="s">
        <v>378</v>
      </c>
      <c r="T2" s="287"/>
      <c r="U2" s="288"/>
      <c r="V2" s="288"/>
      <c r="W2" s="289"/>
      <c r="X2" s="289"/>
      <c r="Y2" s="289"/>
      <c r="Z2" s="289"/>
      <c r="AA2" s="289"/>
      <c r="AB2" s="289"/>
      <c r="AC2" s="289"/>
      <c r="AD2" s="288"/>
      <c r="AE2" s="288"/>
      <c r="AF2" s="289"/>
      <c r="AG2" s="289"/>
      <c r="AH2" s="289"/>
    </row>
    <row r="3" spans="1:34" x14ac:dyDescent="0.25">
      <c r="A3" s="290" t="s">
        <v>170</v>
      </c>
      <c r="B3" s="306"/>
      <c r="C3" s="304"/>
      <c r="D3" s="300"/>
      <c r="E3" s="300"/>
      <c r="F3" s="311"/>
      <c r="G3" s="314"/>
      <c r="H3" s="304"/>
      <c r="I3" s="300"/>
      <c r="J3" s="300"/>
      <c r="K3" s="311"/>
      <c r="L3" s="314"/>
      <c r="M3" s="304"/>
      <c r="N3" s="300"/>
      <c r="O3" s="300"/>
      <c r="P3" s="300"/>
      <c r="T3" s="291"/>
      <c r="U3" s="292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293"/>
      <c r="AH3" s="293"/>
    </row>
    <row r="4" spans="1:34" x14ac:dyDescent="0.25">
      <c r="A4" s="294" t="s">
        <v>229</v>
      </c>
      <c r="B4" s="307" t="s">
        <v>382</v>
      </c>
      <c r="C4" s="302"/>
      <c r="D4" s="301"/>
      <c r="E4" s="301"/>
      <c r="F4" s="312"/>
      <c r="G4" s="308"/>
      <c r="H4" s="302"/>
      <c r="I4" s="301"/>
      <c r="J4" s="301"/>
      <c r="K4" s="312"/>
      <c r="L4" s="308"/>
      <c r="M4" s="302"/>
      <c r="N4" s="301"/>
      <c r="O4" s="301"/>
      <c r="P4" s="301"/>
      <c r="T4" s="291"/>
      <c r="U4" s="295"/>
      <c r="V4" s="293"/>
      <c r="W4" s="293"/>
      <c r="X4" s="293"/>
      <c r="Y4" s="293"/>
      <c r="Z4" s="293"/>
      <c r="AA4" s="293"/>
      <c r="AB4" s="293"/>
      <c r="AC4" s="293"/>
      <c r="AD4" s="293"/>
      <c r="AE4" s="293"/>
      <c r="AF4" s="293"/>
      <c r="AG4" s="293"/>
      <c r="AH4" s="293"/>
    </row>
    <row r="5" spans="1:34" ht="15.75" customHeight="1" x14ac:dyDescent="0.25">
      <c r="A5" s="296" t="s">
        <v>230</v>
      </c>
      <c r="B5" s="308">
        <f>SUM(C5:F5)</f>
        <v>14</v>
      </c>
      <c r="C5" s="302"/>
      <c r="D5" s="301"/>
      <c r="E5" s="301">
        <v>14</v>
      </c>
      <c r="F5" s="312"/>
      <c r="G5" s="308">
        <f>SUM(H5:K5)</f>
        <v>8</v>
      </c>
      <c r="H5" s="302"/>
      <c r="I5" s="301"/>
      <c r="J5" s="301">
        <v>8</v>
      </c>
      <c r="K5" s="312"/>
      <c r="L5" s="308">
        <f>SUM(M5:P5)</f>
        <v>34</v>
      </c>
      <c r="M5" s="302"/>
      <c r="N5" s="301"/>
      <c r="O5" s="301">
        <f>16+8</f>
        <v>24</v>
      </c>
      <c r="P5" s="301">
        <v>10</v>
      </c>
      <c r="T5" s="291"/>
      <c r="U5" s="293"/>
      <c r="V5" s="293"/>
      <c r="W5" s="293"/>
      <c r="X5" s="293"/>
      <c r="Y5" s="293"/>
      <c r="Z5" s="293"/>
      <c r="AA5" s="293"/>
      <c r="AB5" s="293"/>
      <c r="AC5" s="293"/>
      <c r="AD5" s="293"/>
      <c r="AE5" s="293"/>
      <c r="AF5" s="293"/>
      <c r="AG5" s="293"/>
      <c r="AH5" s="293"/>
    </row>
    <row r="6" spans="1:34" x14ac:dyDescent="0.25">
      <c r="A6" s="296" t="s">
        <v>231</v>
      </c>
      <c r="B6" s="308"/>
      <c r="C6" s="302"/>
      <c r="D6" s="301"/>
      <c r="E6" s="301"/>
      <c r="F6" s="312"/>
      <c r="G6" s="308"/>
      <c r="H6" s="302"/>
      <c r="I6" s="301"/>
      <c r="J6" s="301"/>
      <c r="K6" s="312"/>
      <c r="L6" s="308"/>
      <c r="M6" s="302"/>
      <c r="N6" s="301"/>
      <c r="O6" s="301"/>
      <c r="P6" s="301"/>
      <c r="T6" s="291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93"/>
      <c r="AG6" s="293"/>
      <c r="AH6" s="293"/>
    </row>
    <row r="7" spans="1:34" x14ac:dyDescent="0.25">
      <c r="A7" s="296" t="s">
        <v>232</v>
      </c>
      <c r="B7" s="308"/>
      <c r="C7" s="302"/>
      <c r="D7" s="301"/>
      <c r="E7" s="301"/>
      <c r="F7" s="312"/>
      <c r="G7" s="308"/>
      <c r="H7" s="302"/>
      <c r="I7" s="301"/>
      <c r="J7" s="301"/>
      <c r="K7" s="312"/>
      <c r="L7" s="308"/>
      <c r="M7" s="302"/>
      <c r="N7" s="301"/>
      <c r="O7" s="301"/>
      <c r="P7" s="301"/>
      <c r="T7" s="291"/>
      <c r="U7" s="293"/>
      <c r="V7" s="293"/>
      <c r="W7" s="293"/>
      <c r="X7" s="293"/>
      <c r="Y7" s="293"/>
      <c r="Z7" s="293"/>
      <c r="AA7" s="293"/>
      <c r="AB7" s="293"/>
      <c r="AC7" s="293"/>
      <c r="AD7" s="293"/>
      <c r="AE7" s="293"/>
      <c r="AF7" s="293"/>
      <c r="AG7" s="293"/>
      <c r="AH7" s="293"/>
    </row>
    <row r="8" spans="1:34" x14ac:dyDescent="0.25">
      <c r="A8" s="296" t="s">
        <v>233</v>
      </c>
      <c r="B8" s="308"/>
      <c r="C8" s="302"/>
      <c r="D8" s="301"/>
      <c r="E8" s="301"/>
      <c r="F8" s="312"/>
      <c r="G8" s="308"/>
      <c r="H8" s="302"/>
      <c r="I8" s="301"/>
      <c r="J8" s="301"/>
      <c r="K8" s="312"/>
      <c r="L8" s="308"/>
      <c r="M8" s="302"/>
      <c r="N8" s="301"/>
      <c r="O8" s="301"/>
      <c r="P8" s="301"/>
      <c r="T8" s="291"/>
      <c r="U8" s="293"/>
      <c r="V8" s="293"/>
      <c r="W8" s="293"/>
      <c r="X8" s="293"/>
      <c r="Y8" s="293"/>
      <c r="Z8" s="293"/>
      <c r="AA8" s="293"/>
      <c r="AB8" s="293"/>
      <c r="AC8" s="293"/>
      <c r="AD8" s="293"/>
      <c r="AE8" s="293"/>
      <c r="AF8" s="293"/>
      <c r="AG8" s="293"/>
      <c r="AH8" s="293"/>
    </row>
    <row r="9" spans="1:34" x14ac:dyDescent="0.25">
      <c r="A9" s="296" t="s">
        <v>234</v>
      </c>
      <c r="B9" s="308"/>
      <c r="C9" s="302"/>
      <c r="D9" s="301"/>
      <c r="E9" s="301"/>
      <c r="F9" s="312"/>
      <c r="G9" s="308"/>
      <c r="H9" s="302"/>
      <c r="I9" s="301"/>
      <c r="J9" s="301"/>
      <c r="K9" s="312"/>
      <c r="L9" s="308"/>
      <c r="M9" s="302"/>
      <c r="N9" s="301"/>
      <c r="O9" s="301"/>
      <c r="P9" s="301"/>
      <c r="T9" s="291"/>
      <c r="U9" s="293"/>
      <c r="V9" s="293"/>
      <c r="W9" s="293"/>
      <c r="X9" s="293"/>
      <c r="Y9" s="293"/>
      <c r="Z9" s="293"/>
      <c r="AA9" s="293"/>
      <c r="AB9" s="293"/>
      <c r="AC9" s="293"/>
      <c r="AD9" s="293"/>
      <c r="AE9" s="293"/>
      <c r="AF9" s="293"/>
      <c r="AG9" s="293"/>
      <c r="AH9" s="293"/>
    </row>
    <row r="10" spans="1:34" x14ac:dyDescent="0.25">
      <c r="A10" s="296" t="s">
        <v>235</v>
      </c>
      <c r="B10" s="308"/>
      <c r="C10" s="302"/>
      <c r="D10" s="301"/>
      <c r="E10" s="301"/>
      <c r="F10" s="312"/>
      <c r="G10" s="308"/>
      <c r="H10" s="302"/>
      <c r="I10" s="301"/>
      <c r="J10" s="301"/>
      <c r="K10" s="312"/>
      <c r="L10" s="308"/>
      <c r="M10" s="302"/>
      <c r="N10" s="301"/>
      <c r="O10" s="301"/>
      <c r="P10" s="301"/>
      <c r="T10" s="291"/>
      <c r="U10" s="293"/>
      <c r="V10" s="293"/>
      <c r="W10" s="293"/>
      <c r="X10" s="293"/>
      <c r="Y10" s="293"/>
      <c r="Z10" s="293"/>
      <c r="AA10" s="293"/>
      <c r="AB10" s="293"/>
      <c r="AC10" s="293"/>
      <c r="AD10" s="293"/>
      <c r="AE10" s="293"/>
      <c r="AF10" s="293"/>
      <c r="AG10" s="293"/>
      <c r="AH10" s="293"/>
    </row>
    <row r="11" spans="1:34" x14ac:dyDescent="0.25">
      <c r="A11" s="296" t="s">
        <v>236</v>
      </c>
      <c r="B11" s="308"/>
      <c r="C11" s="302"/>
      <c r="D11" s="301"/>
      <c r="E11" s="301"/>
      <c r="F11" s="312"/>
      <c r="G11" s="308"/>
      <c r="H11" s="302"/>
      <c r="I11" s="301"/>
      <c r="J11" s="301"/>
      <c r="K11" s="312"/>
      <c r="L11" s="308"/>
      <c r="M11" s="302"/>
      <c r="N11" s="301"/>
      <c r="O11" s="301"/>
      <c r="P11" s="301"/>
      <c r="T11" s="291"/>
      <c r="U11" s="293"/>
      <c r="V11" s="293"/>
      <c r="W11" s="293"/>
      <c r="X11" s="293"/>
      <c r="Y11" s="293"/>
      <c r="Z11" s="293"/>
      <c r="AA11" s="293"/>
      <c r="AB11" s="293"/>
      <c r="AC11" s="293"/>
      <c r="AD11" s="293"/>
      <c r="AE11" s="293"/>
      <c r="AF11" s="293"/>
      <c r="AG11" s="293"/>
      <c r="AH11" s="293"/>
    </row>
    <row r="12" spans="1:34" x14ac:dyDescent="0.25">
      <c r="A12" s="296" t="s">
        <v>237</v>
      </c>
      <c r="B12" s="308"/>
      <c r="C12" s="302"/>
      <c r="D12" s="301"/>
      <c r="E12" s="301"/>
      <c r="F12" s="312"/>
      <c r="G12" s="308"/>
      <c r="H12" s="302"/>
      <c r="I12" s="301"/>
      <c r="J12" s="301"/>
      <c r="K12" s="312"/>
      <c r="L12" s="308"/>
      <c r="M12" s="302"/>
      <c r="N12" s="301"/>
      <c r="O12" s="301"/>
      <c r="P12" s="301"/>
      <c r="T12" s="291"/>
      <c r="U12" s="293"/>
      <c r="V12" s="293"/>
      <c r="W12" s="293"/>
      <c r="X12" s="293"/>
      <c r="Y12" s="293"/>
      <c r="Z12" s="293"/>
      <c r="AA12" s="293"/>
      <c r="AB12" s="293"/>
      <c r="AC12" s="293"/>
      <c r="AD12" s="293"/>
      <c r="AE12" s="293"/>
      <c r="AF12" s="293"/>
      <c r="AG12" s="293"/>
      <c r="AH12" s="293"/>
    </row>
    <row r="13" spans="1:34" x14ac:dyDescent="0.25">
      <c r="A13" s="296" t="s">
        <v>238</v>
      </c>
      <c r="B13" s="308"/>
      <c r="C13" s="302"/>
      <c r="D13" s="301"/>
      <c r="E13" s="301"/>
      <c r="F13" s="312"/>
      <c r="G13" s="308"/>
      <c r="H13" s="302"/>
      <c r="I13" s="301"/>
      <c r="J13" s="301"/>
      <c r="K13" s="312"/>
      <c r="L13" s="308"/>
      <c r="M13" s="302"/>
      <c r="N13" s="301"/>
      <c r="O13" s="301"/>
      <c r="P13" s="301"/>
      <c r="T13" s="291"/>
      <c r="U13" s="293"/>
      <c r="V13" s="293"/>
      <c r="W13" s="293"/>
      <c r="X13" s="293"/>
      <c r="Y13" s="293"/>
      <c r="Z13" s="293"/>
      <c r="AA13" s="293"/>
      <c r="AB13" s="293"/>
      <c r="AC13" s="293"/>
      <c r="AD13" s="293"/>
      <c r="AE13" s="293"/>
      <c r="AF13" s="293"/>
      <c r="AG13" s="293"/>
      <c r="AH13" s="293"/>
    </row>
    <row r="14" spans="1:34" x14ac:dyDescent="0.25">
      <c r="A14" s="296" t="s">
        <v>239</v>
      </c>
      <c r="B14" s="308"/>
      <c r="C14" s="302"/>
      <c r="D14" s="301"/>
      <c r="E14" s="301"/>
      <c r="F14" s="312"/>
      <c r="G14" s="308"/>
      <c r="H14" s="302"/>
      <c r="I14" s="301"/>
      <c r="J14" s="301"/>
      <c r="K14" s="312"/>
      <c r="L14" s="308"/>
      <c r="M14" s="302"/>
      <c r="N14" s="301"/>
      <c r="O14" s="301"/>
      <c r="P14" s="301"/>
      <c r="T14" s="291"/>
      <c r="U14" s="293"/>
      <c r="V14" s="293"/>
      <c r="W14" s="293"/>
      <c r="X14" s="293"/>
      <c r="Y14" s="293"/>
      <c r="Z14" s="293"/>
      <c r="AA14" s="293"/>
      <c r="AB14" s="293"/>
      <c r="AC14" s="293"/>
      <c r="AD14" s="293"/>
      <c r="AE14" s="293"/>
      <c r="AF14" s="293"/>
      <c r="AG14" s="293"/>
      <c r="AH14" s="293"/>
    </row>
    <row r="15" spans="1:34" x14ac:dyDescent="0.25">
      <c r="A15" s="296" t="s">
        <v>240</v>
      </c>
      <c r="B15" s="308"/>
      <c r="C15" s="302"/>
      <c r="D15" s="301"/>
      <c r="E15" s="301"/>
      <c r="F15" s="312"/>
      <c r="G15" s="308"/>
      <c r="H15" s="302"/>
      <c r="I15" s="301"/>
      <c r="J15" s="301"/>
      <c r="K15" s="312"/>
      <c r="L15" s="308"/>
      <c r="M15" s="302"/>
      <c r="N15" s="301"/>
      <c r="O15" s="301"/>
      <c r="P15" s="301"/>
      <c r="T15" s="291"/>
      <c r="U15" s="293"/>
      <c r="V15" s="293"/>
      <c r="W15" s="293"/>
      <c r="X15" s="293"/>
      <c r="Y15" s="293"/>
      <c r="Z15" s="293"/>
      <c r="AA15" s="293"/>
      <c r="AB15" s="293"/>
      <c r="AC15" s="293"/>
      <c r="AD15" s="293"/>
      <c r="AE15" s="293"/>
      <c r="AF15" s="293"/>
      <c r="AG15" s="293"/>
      <c r="AH15" s="293"/>
    </row>
    <row r="16" spans="1:34" x14ac:dyDescent="0.25">
      <c r="A16" s="296" t="s">
        <v>241</v>
      </c>
      <c r="B16" s="308"/>
      <c r="C16" s="302"/>
      <c r="D16" s="301"/>
      <c r="E16" s="301"/>
      <c r="F16" s="312"/>
      <c r="G16" s="308"/>
      <c r="H16" s="302"/>
      <c r="I16" s="301"/>
      <c r="J16" s="301"/>
      <c r="K16" s="312"/>
      <c r="L16" s="308"/>
      <c r="M16" s="302"/>
      <c r="N16" s="301"/>
      <c r="O16" s="301"/>
      <c r="P16" s="301"/>
      <c r="T16" s="291"/>
      <c r="U16" s="293"/>
      <c r="V16" s="293"/>
      <c r="W16" s="293"/>
      <c r="X16" s="293"/>
      <c r="Y16" s="293"/>
      <c r="Z16" s="293"/>
      <c r="AA16" s="293"/>
      <c r="AB16" s="293"/>
      <c r="AC16" s="293"/>
      <c r="AD16" s="293"/>
      <c r="AE16" s="293"/>
      <c r="AF16" s="293"/>
      <c r="AG16" s="293"/>
      <c r="AH16" s="293"/>
    </row>
    <row r="17" spans="1:34" x14ac:dyDescent="0.25">
      <c r="A17" s="296" t="s">
        <v>242</v>
      </c>
      <c r="B17" s="308"/>
      <c r="C17" s="302"/>
      <c r="D17" s="301"/>
      <c r="E17" s="301"/>
      <c r="F17" s="312"/>
      <c r="G17" s="308"/>
      <c r="H17" s="302"/>
      <c r="I17" s="301"/>
      <c r="J17" s="301"/>
      <c r="K17" s="312"/>
      <c r="L17" s="308"/>
      <c r="M17" s="302"/>
      <c r="N17" s="301"/>
      <c r="O17" s="301"/>
      <c r="P17" s="301"/>
      <c r="T17" s="291"/>
      <c r="U17" s="293"/>
      <c r="V17" s="293"/>
      <c r="W17" s="293"/>
      <c r="X17" s="293"/>
      <c r="Y17" s="293"/>
      <c r="Z17" s="293"/>
      <c r="AA17" s="293"/>
      <c r="AB17" s="293"/>
      <c r="AC17" s="293"/>
      <c r="AD17" s="293"/>
      <c r="AE17" s="293"/>
      <c r="AF17" s="293"/>
      <c r="AG17" s="293"/>
      <c r="AH17" s="293"/>
    </row>
    <row r="18" spans="1:34" x14ac:dyDescent="0.25">
      <c r="A18" s="296" t="s">
        <v>243</v>
      </c>
      <c r="B18" s="308"/>
      <c r="C18" s="302"/>
      <c r="D18" s="301"/>
      <c r="E18" s="301"/>
      <c r="F18" s="312"/>
      <c r="G18" s="308"/>
      <c r="H18" s="302"/>
      <c r="I18" s="301"/>
      <c r="J18" s="301"/>
      <c r="K18" s="312"/>
      <c r="L18" s="308"/>
      <c r="M18" s="302"/>
      <c r="N18" s="301"/>
      <c r="O18" s="301"/>
      <c r="P18" s="301"/>
      <c r="T18" s="291"/>
      <c r="U18" s="293"/>
      <c r="V18" s="293"/>
      <c r="W18" s="293"/>
      <c r="X18" s="293"/>
      <c r="Y18" s="293"/>
      <c r="Z18" s="293"/>
      <c r="AA18" s="293"/>
      <c r="AB18" s="293"/>
      <c r="AC18" s="293"/>
      <c r="AD18" s="293"/>
      <c r="AE18" s="293"/>
      <c r="AF18" s="293"/>
      <c r="AG18" s="293"/>
      <c r="AH18" s="293"/>
    </row>
    <row r="19" spans="1:34" x14ac:dyDescent="0.25">
      <c r="A19" s="296" t="s">
        <v>244</v>
      </c>
      <c r="B19" s="308"/>
      <c r="C19" s="302"/>
      <c r="D19" s="301"/>
      <c r="E19" s="301"/>
      <c r="F19" s="312"/>
      <c r="G19" s="308"/>
      <c r="H19" s="302"/>
      <c r="I19" s="301"/>
      <c r="J19" s="301"/>
      <c r="K19" s="312"/>
      <c r="L19" s="308"/>
      <c r="M19" s="302"/>
      <c r="N19" s="301"/>
      <c r="O19" s="301"/>
      <c r="P19" s="301"/>
      <c r="T19" s="291"/>
      <c r="U19" s="293"/>
      <c r="V19" s="293"/>
      <c r="W19" s="293"/>
      <c r="X19" s="293"/>
      <c r="Y19" s="293"/>
      <c r="Z19" s="293"/>
      <c r="AA19" s="293"/>
      <c r="AB19" s="293"/>
      <c r="AC19" s="293"/>
      <c r="AD19" s="293"/>
      <c r="AE19" s="293"/>
      <c r="AF19" s="293"/>
      <c r="AG19" s="293"/>
      <c r="AH19" s="293"/>
    </row>
    <row r="20" spans="1:34" x14ac:dyDescent="0.25">
      <c r="A20" s="296" t="s">
        <v>245</v>
      </c>
      <c r="B20" s="308"/>
      <c r="C20" s="302"/>
      <c r="D20" s="301"/>
      <c r="E20" s="301"/>
      <c r="F20" s="312"/>
      <c r="G20" s="308"/>
      <c r="H20" s="302"/>
      <c r="I20" s="301"/>
      <c r="J20" s="301"/>
      <c r="K20" s="312"/>
      <c r="L20" s="308"/>
      <c r="M20" s="302"/>
      <c r="N20" s="301"/>
      <c r="O20" s="301"/>
      <c r="P20" s="301"/>
      <c r="T20" s="291"/>
      <c r="U20" s="293"/>
      <c r="V20" s="293"/>
      <c r="W20" s="293"/>
      <c r="X20" s="293"/>
      <c r="Y20" s="293"/>
      <c r="Z20" s="293"/>
      <c r="AA20" s="293"/>
      <c r="AB20" s="293"/>
      <c r="AC20" s="293"/>
      <c r="AD20" s="293"/>
      <c r="AE20" s="293"/>
      <c r="AF20" s="293"/>
      <c r="AG20" s="293"/>
      <c r="AH20" s="293"/>
    </row>
    <row r="21" spans="1:34" x14ac:dyDescent="0.25">
      <c r="A21" s="296" t="s">
        <v>246</v>
      </c>
      <c r="B21" s="308"/>
      <c r="C21" s="302"/>
      <c r="D21" s="301"/>
      <c r="E21" s="301"/>
      <c r="F21" s="312"/>
      <c r="G21" s="308"/>
      <c r="H21" s="302"/>
      <c r="I21" s="301"/>
      <c r="J21" s="301"/>
      <c r="K21" s="312"/>
      <c r="L21" s="308"/>
      <c r="M21" s="302"/>
      <c r="N21" s="301"/>
      <c r="O21" s="301"/>
      <c r="P21" s="301"/>
      <c r="T21" s="291"/>
      <c r="U21" s="293"/>
      <c r="V21" s="293"/>
      <c r="W21" s="293"/>
      <c r="X21" s="293"/>
      <c r="Y21" s="293"/>
      <c r="Z21" s="293"/>
      <c r="AA21" s="293"/>
      <c r="AB21" s="293"/>
      <c r="AC21" s="293"/>
      <c r="AD21" s="293"/>
      <c r="AE21" s="293"/>
      <c r="AF21" s="293"/>
      <c r="AG21" s="293"/>
      <c r="AH21" s="293"/>
    </row>
    <row r="22" spans="1:34" x14ac:dyDescent="0.25">
      <c r="A22" s="296" t="s">
        <v>247</v>
      </c>
      <c r="B22" s="308"/>
      <c r="C22" s="302"/>
      <c r="D22" s="301"/>
      <c r="E22" s="301"/>
      <c r="F22" s="312"/>
      <c r="G22" s="308"/>
      <c r="H22" s="302"/>
      <c r="I22" s="301"/>
      <c r="J22" s="301"/>
      <c r="K22" s="312"/>
      <c r="L22" s="308"/>
      <c r="M22" s="302"/>
      <c r="N22" s="301"/>
      <c r="O22" s="301"/>
      <c r="P22" s="301"/>
      <c r="T22" s="291"/>
      <c r="U22" s="293"/>
      <c r="V22" s="293"/>
      <c r="W22" s="293"/>
      <c r="X22" s="293"/>
      <c r="Y22" s="293"/>
      <c r="Z22" s="293"/>
      <c r="AA22" s="293"/>
      <c r="AB22" s="293"/>
      <c r="AC22" s="293"/>
      <c r="AD22" s="293"/>
      <c r="AE22" s="293"/>
      <c r="AF22" s="293"/>
      <c r="AG22" s="293"/>
      <c r="AH22" s="293"/>
    </row>
    <row r="23" spans="1:34" x14ac:dyDescent="0.25">
      <c r="A23" s="296" t="s">
        <v>248</v>
      </c>
      <c r="B23" s="308"/>
      <c r="C23" s="302"/>
      <c r="D23" s="301"/>
      <c r="E23" s="301"/>
      <c r="F23" s="312"/>
      <c r="G23" s="308"/>
      <c r="H23" s="302"/>
      <c r="I23" s="301"/>
      <c r="J23" s="301"/>
      <c r="K23" s="312"/>
      <c r="L23" s="308"/>
      <c r="M23" s="302"/>
      <c r="N23" s="301"/>
      <c r="O23" s="301"/>
      <c r="P23" s="301"/>
      <c r="T23" s="291"/>
      <c r="U23" s="293"/>
      <c r="V23" s="293"/>
      <c r="W23" s="293"/>
      <c r="X23" s="293"/>
      <c r="Y23" s="293"/>
      <c r="Z23" s="293"/>
      <c r="AA23" s="293"/>
      <c r="AB23" s="293"/>
      <c r="AC23" s="293"/>
      <c r="AD23" s="293"/>
      <c r="AE23" s="293"/>
      <c r="AF23" s="293"/>
      <c r="AG23" s="293"/>
      <c r="AH23" s="293"/>
    </row>
    <row r="24" spans="1:34" x14ac:dyDescent="0.25">
      <c r="A24" s="296" t="s">
        <v>249</v>
      </c>
      <c r="B24" s="308"/>
      <c r="C24" s="302"/>
      <c r="D24" s="301"/>
      <c r="E24" s="301"/>
      <c r="F24" s="312"/>
      <c r="G24" s="308"/>
      <c r="H24" s="302"/>
      <c r="I24" s="301"/>
      <c r="J24" s="301"/>
      <c r="K24" s="312"/>
      <c r="L24" s="308"/>
      <c r="M24" s="302"/>
      <c r="N24" s="301"/>
      <c r="O24" s="301"/>
      <c r="P24" s="301"/>
      <c r="T24" s="291"/>
      <c r="U24" s="293"/>
      <c r="V24" s="293"/>
      <c r="W24" s="293"/>
      <c r="X24" s="293"/>
      <c r="Y24" s="293"/>
      <c r="Z24" s="293"/>
      <c r="AA24" s="293"/>
      <c r="AB24" s="293"/>
      <c r="AC24" s="293"/>
      <c r="AD24" s="293"/>
      <c r="AE24" s="293"/>
      <c r="AF24" s="293"/>
      <c r="AG24" s="293"/>
      <c r="AH24" s="293"/>
    </row>
    <row r="25" spans="1:34" x14ac:dyDescent="0.25">
      <c r="A25" s="296" t="s">
        <v>250</v>
      </c>
      <c r="B25" s="308"/>
      <c r="C25" s="302"/>
      <c r="D25" s="301"/>
      <c r="E25" s="301"/>
      <c r="F25" s="312"/>
      <c r="G25" s="308"/>
      <c r="H25" s="302"/>
      <c r="I25" s="301"/>
      <c r="J25" s="301"/>
      <c r="K25" s="312"/>
      <c r="L25" s="308"/>
      <c r="M25" s="302"/>
      <c r="N25" s="301"/>
      <c r="O25" s="301"/>
      <c r="P25" s="301"/>
      <c r="T25" s="291"/>
      <c r="U25" s="293"/>
      <c r="V25" s="293"/>
      <c r="W25" s="293"/>
      <c r="X25" s="293"/>
      <c r="Y25" s="293"/>
      <c r="Z25" s="293"/>
      <c r="AA25" s="293"/>
      <c r="AB25" s="293"/>
      <c r="AC25" s="293"/>
      <c r="AD25" s="293"/>
      <c r="AE25" s="293"/>
      <c r="AF25" s="293"/>
      <c r="AG25" s="293"/>
      <c r="AH25" s="293"/>
    </row>
    <row r="26" spans="1:34" x14ac:dyDescent="0.25">
      <c r="A26" s="296" t="s">
        <v>251</v>
      </c>
      <c r="B26" s="308"/>
      <c r="C26" s="302"/>
      <c r="D26" s="301"/>
      <c r="E26" s="301"/>
      <c r="F26" s="312"/>
      <c r="G26" s="308"/>
      <c r="H26" s="302"/>
      <c r="I26" s="301"/>
      <c r="J26" s="301"/>
      <c r="K26" s="312"/>
      <c r="L26" s="308"/>
      <c r="M26" s="302"/>
      <c r="N26" s="301"/>
      <c r="O26" s="301"/>
      <c r="P26" s="301"/>
      <c r="T26" s="291"/>
      <c r="U26" s="293"/>
      <c r="V26" s="293"/>
      <c r="W26" s="293"/>
      <c r="X26" s="293"/>
      <c r="Y26" s="293"/>
      <c r="Z26" s="293"/>
      <c r="AA26" s="293"/>
      <c r="AB26" s="293"/>
      <c r="AC26" s="293"/>
      <c r="AD26" s="293"/>
      <c r="AE26" s="293"/>
      <c r="AF26" s="293"/>
      <c r="AG26" s="293"/>
      <c r="AH26" s="293"/>
    </row>
    <row r="27" spans="1:34" x14ac:dyDescent="0.25">
      <c r="A27" s="296" t="s">
        <v>252</v>
      </c>
      <c r="B27" s="308"/>
      <c r="C27" s="302"/>
      <c r="D27" s="301"/>
      <c r="E27" s="301"/>
      <c r="F27" s="312"/>
      <c r="G27" s="308"/>
      <c r="H27" s="302"/>
      <c r="I27" s="301"/>
      <c r="J27" s="301"/>
      <c r="K27" s="312"/>
      <c r="L27" s="308"/>
      <c r="M27" s="302"/>
      <c r="N27" s="301"/>
      <c r="O27" s="301"/>
      <c r="P27" s="301"/>
      <c r="T27" s="291"/>
      <c r="U27" s="293"/>
      <c r="V27" s="293"/>
      <c r="W27" s="293"/>
      <c r="X27" s="293"/>
      <c r="Y27" s="293"/>
      <c r="Z27" s="293"/>
      <c r="AA27" s="293"/>
      <c r="AB27" s="293"/>
      <c r="AC27" s="293"/>
      <c r="AD27" s="293"/>
      <c r="AE27" s="293"/>
      <c r="AF27" s="293"/>
      <c r="AG27" s="293"/>
      <c r="AH27" s="293"/>
    </row>
    <row r="28" spans="1:34" x14ac:dyDescent="0.25">
      <c r="A28" s="296" t="s">
        <v>253</v>
      </c>
      <c r="B28" s="308"/>
      <c r="C28" s="302"/>
      <c r="D28" s="301"/>
      <c r="E28" s="301"/>
      <c r="F28" s="312"/>
      <c r="G28" s="308"/>
      <c r="H28" s="302"/>
      <c r="I28" s="301"/>
      <c r="J28" s="301"/>
      <c r="K28" s="312"/>
      <c r="L28" s="308"/>
      <c r="M28" s="302"/>
      <c r="N28" s="301"/>
      <c r="O28" s="301"/>
      <c r="P28" s="301"/>
      <c r="T28" s="291"/>
      <c r="U28" s="293"/>
      <c r="V28" s="293"/>
      <c r="W28" s="293"/>
      <c r="X28" s="293"/>
      <c r="Y28" s="293"/>
      <c r="Z28" s="293"/>
      <c r="AA28" s="293"/>
      <c r="AB28" s="293"/>
      <c r="AC28" s="293"/>
      <c r="AD28" s="293"/>
      <c r="AE28" s="293"/>
      <c r="AF28" s="293"/>
      <c r="AG28" s="293"/>
      <c r="AH28" s="293"/>
    </row>
    <row r="29" spans="1:34" x14ac:dyDescent="0.25">
      <c r="A29" s="296" t="s">
        <v>254</v>
      </c>
      <c r="B29" s="308"/>
      <c r="C29" s="302"/>
      <c r="D29" s="301"/>
      <c r="E29" s="301"/>
      <c r="F29" s="312"/>
      <c r="G29" s="308"/>
      <c r="H29" s="302"/>
      <c r="I29" s="301"/>
      <c r="J29" s="301"/>
      <c r="K29" s="312"/>
      <c r="L29" s="308"/>
      <c r="M29" s="302"/>
      <c r="N29" s="301"/>
      <c r="O29" s="301"/>
      <c r="P29" s="301"/>
      <c r="T29" s="291"/>
      <c r="U29" s="293"/>
      <c r="V29" s="293"/>
      <c r="W29" s="293"/>
      <c r="X29" s="293"/>
      <c r="Y29" s="293"/>
      <c r="Z29" s="293"/>
      <c r="AA29" s="293"/>
      <c r="AB29" s="293"/>
      <c r="AC29" s="293"/>
      <c r="AD29" s="293"/>
      <c r="AE29" s="293"/>
      <c r="AF29" s="293"/>
      <c r="AG29" s="293"/>
      <c r="AH29" s="293"/>
    </row>
    <row r="30" spans="1:34" x14ac:dyDescent="0.25">
      <c r="A30" s="296" t="s">
        <v>255</v>
      </c>
      <c r="B30" s="308"/>
      <c r="C30" s="302"/>
      <c r="D30" s="301"/>
      <c r="E30" s="301"/>
      <c r="F30" s="312"/>
      <c r="G30" s="308"/>
      <c r="H30" s="302"/>
      <c r="I30" s="301"/>
      <c r="J30" s="301"/>
      <c r="K30" s="312"/>
      <c r="L30" s="308"/>
      <c r="M30" s="302"/>
      <c r="N30" s="301"/>
      <c r="O30" s="301"/>
      <c r="P30" s="301"/>
      <c r="T30" s="291"/>
      <c r="U30" s="293"/>
      <c r="V30" s="293"/>
      <c r="W30" s="293"/>
      <c r="X30" s="293"/>
      <c r="Y30" s="293"/>
      <c r="Z30" s="293"/>
      <c r="AA30" s="293"/>
      <c r="AB30" s="293"/>
      <c r="AC30" s="293"/>
      <c r="AD30" s="293"/>
      <c r="AE30" s="293"/>
      <c r="AF30" s="293"/>
      <c r="AG30" s="293"/>
      <c r="AH30" s="293"/>
    </row>
    <row r="31" spans="1:34" x14ac:dyDescent="0.25">
      <c r="A31" s="296" t="s">
        <v>256</v>
      </c>
      <c r="B31" s="308"/>
      <c r="C31" s="302"/>
      <c r="D31" s="301"/>
      <c r="E31" s="301"/>
      <c r="F31" s="312"/>
      <c r="G31" s="308"/>
      <c r="H31" s="302"/>
      <c r="I31" s="301"/>
      <c r="J31" s="301"/>
      <c r="K31" s="312"/>
      <c r="L31" s="308"/>
      <c r="M31" s="302"/>
      <c r="N31" s="301"/>
      <c r="O31" s="301"/>
      <c r="P31" s="301"/>
      <c r="T31" s="291"/>
      <c r="U31" s="293"/>
      <c r="V31" s="293"/>
      <c r="W31" s="293"/>
      <c r="X31" s="293"/>
      <c r="Y31" s="293"/>
      <c r="Z31" s="293"/>
      <c r="AA31" s="293"/>
      <c r="AB31" s="293"/>
      <c r="AC31" s="293"/>
      <c r="AD31" s="293"/>
      <c r="AE31" s="293"/>
      <c r="AF31" s="293"/>
      <c r="AG31" s="293"/>
      <c r="AH31" s="293"/>
    </row>
    <row r="32" spans="1:34" x14ac:dyDescent="0.25">
      <c r="A32" s="296" t="s">
        <v>257</v>
      </c>
      <c r="B32" s="308"/>
      <c r="C32" s="302"/>
      <c r="D32" s="301"/>
      <c r="E32" s="301"/>
      <c r="F32" s="312"/>
      <c r="G32" s="308"/>
      <c r="H32" s="302"/>
      <c r="I32" s="301"/>
      <c r="J32" s="301"/>
      <c r="K32" s="312"/>
      <c r="L32" s="308"/>
      <c r="M32" s="302"/>
      <c r="N32" s="301"/>
      <c r="O32" s="301"/>
      <c r="P32" s="301"/>
      <c r="T32" s="291"/>
      <c r="U32" s="293"/>
      <c r="V32" s="293"/>
      <c r="W32" s="293"/>
      <c r="X32" s="293"/>
      <c r="Y32" s="293"/>
      <c r="Z32" s="293"/>
      <c r="AA32" s="293"/>
      <c r="AB32" s="293"/>
      <c r="AC32" s="293"/>
      <c r="AD32" s="293"/>
      <c r="AE32" s="293"/>
      <c r="AF32" s="293"/>
      <c r="AG32" s="293"/>
      <c r="AH32" s="293"/>
    </row>
    <row r="33" spans="1:34" x14ac:dyDescent="0.25">
      <c r="A33" s="296" t="s">
        <v>258</v>
      </c>
      <c r="B33" s="308"/>
      <c r="C33" s="302"/>
      <c r="D33" s="301"/>
      <c r="E33" s="301"/>
      <c r="F33" s="312"/>
      <c r="G33" s="308"/>
      <c r="H33" s="302"/>
      <c r="I33" s="301"/>
      <c r="J33" s="301"/>
      <c r="K33" s="312"/>
      <c r="L33" s="308"/>
      <c r="M33" s="302"/>
      <c r="N33" s="301"/>
      <c r="O33" s="301"/>
      <c r="P33" s="301"/>
      <c r="T33" s="291"/>
      <c r="U33" s="293"/>
      <c r="V33" s="293"/>
      <c r="W33" s="293"/>
      <c r="X33" s="293"/>
      <c r="Y33" s="293"/>
      <c r="Z33" s="293"/>
      <c r="AA33" s="293"/>
      <c r="AB33" s="293"/>
      <c r="AC33" s="293"/>
      <c r="AD33" s="293"/>
      <c r="AE33" s="293"/>
      <c r="AF33" s="293"/>
      <c r="AG33" s="293"/>
      <c r="AH33" s="293"/>
    </row>
    <row r="34" spans="1:34" ht="15.75" thickBot="1" x14ac:dyDescent="0.3">
      <c r="A34" s="297" t="s">
        <v>259</v>
      </c>
      <c r="B34" s="309"/>
      <c r="C34" s="298"/>
      <c r="D34" s="244"/>
      <c r="E34" s="244"/>
      <c r="F34" s="313"/>
      <c r="G34" s="309"/>
      <c r="H34" s="298"/>
      <c r="I34" s="244"/>
      <c r="J34" s="244"/>
      <c r="K34" s="313"/>
      <c r="L34" s="309"/>
      <c r="M34" s="298"/>
      <c r="N34" s="244"/>
      <c r="O34" s="244"/>
      <c r="P34" s="244"/>
      <c r="T34" s="291"/>
      <c r="U34" s="292"/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</row>
    <row r="37" spans="1:34" ht="15.75" thickBot="1" x14ac:dyDescent="0.3"/>
    <row r="38" spans="1:34" ht="60.75" thickBot="1" x14ac:dyDescent="0.3">
      <c r="A38" s="285" t="s">
        <v>260</v>
      </c>
      <c r="B38" s="305" t="s">
        <v>373</v>
      </c>
      <c r="C38" s="303" t="s">
        <v>379</v>
      </c>
      <c r="D38" s="286" t="s">
        <v>383</v>
      </c>
      <c r="E38" s="286" t="s">
        <v>381</v>
      </c>
      <c r="F38" s="310"/>
      <c r="G38" s="305" t="s">
        <v>374</v>
      </c>
      <c r="H38" s="303" t="s">
        <v>379</v>
      </c>
      <c r="I38" s="286" t="s">
        <v>380</v>
      </c>
      <c r="J38" s="286" t="s">
        <v>381</v>
      </c>
      <c r="K38" s="310"/>
      <c r="L38" s="305" t="s">
        <v>366</v>
      </c>
      <c r="M38" s="303" t="s">
        <v>379</v>
      </c>
      <c r="N38" s="286" t="s">
        <v>380</v>
      </c>
      <c r="O38" s="286" t="s">
        <v>381</v>
      </c>
      <c r="P38" s="286"/>
    </row>
    <row r="39" spans="1:34" x14ac:dyDescent="0.25">
      <c r="A39" s="290" t="s">
        <v>170</v>
      </c>
      <c r="B39" s="306"/>
      <c r="C39" s="304"/>
      <c r="D39" s="300"/>
      <c r="E39" s="300"/>
      <c r="F39" s="311"/>
      <c r="G39" s="314"/>
      <c r="H39" s="304"/>
      <c r="I39" s="300"/>
      <c r="J39" s="300"/>
      <c r="K39" s="311"/>
      <c r="L39" s="314"/>
      <c r="M39" s="304"/>
      <c r="N39" s="300"/>
      <c r="O39" s="300"/>
      <c r="P39" s="300"/>
    </row>
    <row r="40" spans="1:34" x14ac:dyDescent="0.25">
      <c r="A40" s="294" t="s">
        <v>229</v>
      </c>
      <c r="B40" s="307" t="s">
        <v>396</v>
      </c>
      <c r="C40" s="302"/>
      <c r="D40" s="301"/>
      <c r="E40" s="301"/>
      <c r="F40" s="312"/>
      <c r="G40" s="308"/>
      <c r="H40" s="302"/>
      <c r="I40" s="301"/>
      <c r="J40" s="301"/>
      <c r="K40" s="312"/>
      <c r="L40" s="308"/>
      <c r="M40" s="302"/>
      <c r="N40" s="301"/>
      <c r="O40" s="301"/>
      <c r="P40" s="301"/>
    </row>
    <row r="41" spans="1:34" x14ac:dyDescent="0.25">
      <c r="A41" s="296" t="s">
        <v>230</v>
      </c>
      <c r="B41" s="308">
        <f>SUM(C41:E41)</f>
        <v>4</v>
      </c>
      <c r="C41" s="302"/>
      <c r="D41" s="301">
        <v>4</v>
      </c>
      <c r="E41" s="301"/>
      <c r="F41" s="312"/>
      <c r="G41" s="308">
        <f>SUM(H41:J41)</f>
        <v>4</v>
      </c>
      <c r="H41" s="302"/>
      <c r="I41" s="301">
        <v>4</v>
      </c>
      <c r="J41" s="301"/>
      <c r="K41" s="312"/>
      <c r="L41" s="308">
        <f>SUM(M41:O41)</f>
        <v>16</v>
      </c>
      <c r="M41" s="302"/>
      <c r="N41" s="301">
        <v>16</v>
      </c>
      <c r="O41" s="301"/>
      <c r="P41" s="301"/>
    </row>
    <row r="42" spans="1:34" x14ac:dyDescent="0.25">
      <c r="A42" s="296" t="s">
        <v>231</v>
      </c>
      <c r="B42" s="308"/>
      <c r="C42" s="302"/>
      <c r="D42" s="301"/>
      <c r="E42" s="301"/>
      <c r="F42" s="312"/>
      <c r="G42" s="308"/>
      <c r="H42" s="302"/>
      <c r="I42" s="301"/>
      <c r="J42" s="301"/>
      <c r="K42" s="312"/>
      <c r="L42" s="308"/>
      <c r="M42" s="302"/>
      <c r="N42" s="301"/>
      <c r="O42" s="301"/>
      <c r="P42" s="301"/>
    </row>
    <row r="43" spans="1:34" x14ac:dyDescent="0.25">
      <c r="A43" s="296" t="s">
        <v>232</v>
      </c>
      <c r="B43" s="308"/>
      <c r="C43" s="302"/>
      <c r="D43" s="301"/>
      <c r="E43" s="301"/>
      <c r="F43" s="312"/>
      <c r="G43" s="308"/>
      <c r="H43" s="302"/>
      <c r="I43" s="301"/>
      <c r="J43" s="301"/>
      <c r="K43" s="312"/>
      <c r="L43" s="308"/>
      <c r="M43" s="302"/>
      <c r="N43" s="301"/>
      <c r="O43" s="301"/>
      <c r="P43" s="301"/>
    </row>
    <row r="44" spans="1:34" x14ac:dyDescent="0.25">
      <c r="A44" s="296" t="s">
        <v>233</v>
      </c>
      <c r="B44" s="308"/>
      <c r="C44" s="302"/>
      <c r="D44" s="301"/>
      <c r="E44" s="301"/>
      <c r="F44" s="312"/>
      <c r="G44" s="308"/>
      <c r="H44" s="302"/>
      <c r="I44" s="301"/>
      <c r="J44" s="301"/>
      <c r="K44" s="312"/>
      <c r="L44" s="308"/>
      <c r="M44" s="302"/>
      <c r="N44" s="301"/>
      <c r="O44" s="301"/>
      <c r="P44" s="301"/>
    </row>
    <row r="45" spans="1:34" x14ac:dyDescent="0.25">
      <c r="A45" s="296" t="s">
        <v>234</v>
      </c>
      <c r="B45" s="308"/>
      <c r="C45" s="302"/>
      <c r="D45" s="301"/>
      <c r="E45" s="301"/>
      <c r="F45" s="312"/>
      <c r="G45" s="308"/>
      <c r="H45" s="302"/>
      <c r="I45" s="301"/>
      <c r="J45" s="301"/>
      <c r="K45" s="312"/>
      <c r="L45" s="308"/>
      <c r="M45" s="302"/>
      <c r="N45" s="301"/>
      <c r="O45" s="301"/>
      <c r="P45" s="301"/>
    </row>
    <row r="46" spans="1:34" x14ac:dyDescent="0.25">
      <c r="A46" s="296" t="s">
        <v>235</v>
      </c>
      <c r="B46" s="308"/>
      <c r="C46" s="302"/>
      <c r="D46" s="301"/>
      <c r="E46" s="301"/>
      <c r="F46" s="312"/>
      <c r="G46" s="308"/>
      <c r="H46" s="302"/>
      <c r="I46" s="301"/>
      <c r="J46" s="301"/>
      <c r="K46" s="312"/>
      <c r="L46" s="308"/>
      <c r="M46" s="302"/>
      <c r="N46" s="301"/>
      <c r="O46" s="301"/>
      <c r="P46" s="301"/>
    </row>
    <row r="47" spans="1:34" x14ac:dyDescent="0.25">
      <c r="A47" s="296" t="s">
        <v>236</v>
      </c>
      <c r="B47" s="308"/>
      <c r="C47" s="302"/>
      <c r="D47" s="301"/>
      <c r="E47" s="301"/>
      <c r="F47" s="312"/>
      <c r="G47" s="308"/>
      <c r="H47" s="302"/>
      <c r="I47" s="301"/>
      <c r="J47" s="301"/>
      <c r="K47" s="312"/>
      <c r="L47" s="308"/>
      <c r="M47" s="302"/>
      <c r="N47" s="301"/>
      <c r="O47" s="301"/>
      <c r="P47" s="301"/>
    </row>
    <row r="48" spans="1:34" x14ac:dyDescent="0.25">
      <c r="A48" s="296" t="s">
        <v>237</v>
      </c>
      <c r="B48" s="308"/>
      <c r="C48" s="302"/>
      <c r="D48" s="301"/>
      <c r="E48" s="301"/>
      <c r="F48" s="312"/>
      <c r="G48" s="308"/>
      <c r="H48" s="302"/>
      <c r="I48" s="301"/>
      <c r="J48" s="301"/>
      <c r="K48" s="312"/>
      <c r="L48" s="308"/>
      <c r="M48" s="302"/>
      <c r="N48" s="301"/>
      <c r="O48" s="301"/>
      <c r="P48" s="301"/>
    </row>
    <row r="49" spans="1:16" x14ac:dyDescent="0.25">
      <c r="A49" s="296" t="s">
        <v>238</v>
      </c>
      <c r="B49" s="308"/>
      <c r="C49" s="302"/>
      <c r="D49" s="301"/>
      <c r="E49" s="301"/>
      <c r="F49" s="312"/>
      <c r="G49" s="308"/>
      <c r="H49" s="302"/>
      <c r="I49" s="301"/>
      <c r="J49" s="301"/>
      <c r="K49" s="312"/>
      <c r="L49" s="308"/>
      <c r="M49" s="302"/>
      <c r="N49" s="301"/>
      <c r="O49" s="301"/>
      <c r="P49" s="301"/>
    </row>
    <row r="50" spans="1:16" x14ac:dyDescent="0.25">
      <c r="A50" s="296" t="s">
        <v>239</v>
      </c>
      <c r="B50" s="308"/>
      <c r="C50" s="302"/>
      <c r="D50" s="301"/>
      <c r="E50" s="301"/>
      <c r="F50" s="312"/>
      <c r="G50" s="308"/>
      <c r="H50" s="302"/>
      <c r="I50" s="301"/>
      <c r="J50" s="301"/>
      <c r="K50" s="312"/>
      <c r="L50" s="308"/>
      <c r="M50" s="302"/>
      <c r="N50" s="301"/>
      <c r="O50" s="301"/>
      <c r="P50" s="301"/>
    </row>
    <row r="51" spans="1:16" x14ac:dyDescent="0.25">
      <c r="A51" s="296" t="s">
        <v>240</v>
      </c>
      <c r="B51" s="308"/>
      <c r="C51" s="302"/>
      <c r="D51" s="301"/>
      <c r="E51" s="301"/>
      <c r="F51" s="312"/>
      <c r="G51" s="308"/>
      <c r="H51" s="302"/>
      <c r="I51" s="301"/>
      <c r="J51" s="301"/>
      <c r="K51" s="312"/>
      <c r="L51" s="308"/>
      <c r="M51" s="302"/>
      <c r="N51" s="301"/>
      <c r="O51" s="301"/>
      <c r="P51" s="301"/>
    </row>
    <row r="52" spans="1:16" x14ac:dyDescent="0.25">
      <c r="A52" s="296" t="s">
        <v>241</v>
      </c>
      <c r="B52" s="308"/>
      <c r="C52" s="302"/>
      <c r="D52" s="301"/>
      <c r="E52" s="301"/>
      <c r="F52" s="312"/>
      <c r="G52" s="308"/>
      <c r="H52" s="302"/>
      <c r="I52" s="301"/>
      <c r="J52" s="301"/>
      <c r="K52" s="312"/>
      <c r="L52" s="308"/>
      <c r="M52" s="302"/>
      <c r="N52" s="301"/>
      <c r="O52" s="301"/>
      <c r="P52" s="301"/>
    </row>
    <row r="53" spans="1:16" x14ac:dyDescent="0.25">
      <c r="A53" s="296" t="s">
        <v>242</v>
      </c>
      <c r="B53" s="308"/>
      <c r="C53" s="302"/>
      <c r="D53" s="301"/>
      <c r="E53" s="301"/>
      <c r="F53" s="312"/>
      <c r="G53" s="308"/>
      <c r="H53" s="302"/>
      <c r="I53" s="301"/>
      <c r="J53" s="301"/>
      <c r="K53" s="312"/>
      <c r="L53" s="308"/>
      <c r="M53" s="302"/>
      <c r="N53" s="301"/>
      <c r="O53" s="301"/>
      <c r="P53" s="301"/>
    </row>
    <row r="54" spans="1:16" x14ac:dyDescent="0.25">
      <c r="A54" s="296" t="s">
        <v>243</v>
      </c>
      <c r="B54" s="308"/>
      <c r="C54" s="302"/>
      <c r="D54" s="301"/>
      <c r="E54" s="301"/>
      <c r="F54" s="312"/>
      <c r="G54" s="308"/>
      <c r="H54" s="302"/>
      <c r="I54" s="301"/>
      <c r="J54" s="301"/>
      <c r="K54" s="312"/>
      <c r="L54" s="308"/>
      <c r="M54" s="302"/>
      <c r="N54" s="301"/>
      <c r="O54" s="301"/>
      <c r="P54" s="301"/>
    </row>
    <row r="55" spans="1:16" x14ac:dyDescent="0.25">
      <c r="A55" s="296" t="s">
        <v>244</v>
      </c>
      <c r="B55" s="308"/>
      <c r="C55" s="302"/>
      <c r="D55" s="301"/>
      <c r="E55" s="301"/>
      <c r="F55" s="312"/>
      <c r="G55" s="308"/>
      <c r="H55" s="302"/>
      <c r="I55" s="301"/>
      <c r="J55" s="301"/>
      <c r="K55" s="312"/>
      <c r="L55" s="308"/>
      <c r="M55" s="302"/>
      <c r="N55" s="301"/>
      <c r="O55" s="301"/>
      <c r="P55" s="301"/>
    </row>
    <row r="56" spans="1:16" x14ac:dyDescent="0.25">
      <c r="A56" s="296" t="s">
        <v>245</v>
      </c>
      <c r="B56" s="308"/>
      <c r="C56" s="302"/>
      <c r="D56" s="301"/>
      <c r="E56" s="301"/>
      <c r="F56" s="312"/>
      <c r="G56" s="308"/>
      <c r="H56" s="302"/>
      <c r="I56" s="301"/>
      <c r="J56" s="301"/>
      <c r="K56" s="312"/>
      <c r="L56" s="308"/>
      <c r="M56" s="302"/>
      <c r="N56" s="301"/>
      <c r="O56" s="301"/>
      <c r="P56" s="301"/>
    </row>
    <row r="57" spans="1:16" x14ac:dyDescent="0.25">
      <c r="A57" s="296" t="s">
        <v>246</v>
      </c>
      <c r="B57" s="308"/>
      <c r="C57" s="302"/>
      <c r="D57" s="301"/>
      <c r="E57" s="301"/>
      <c r="F57" s="312"/>
      <c r="G57" s="308"/>
      <c r="H57" s="302"/>
      <c r="I57" s="301"/>
      <c r="J57" s="301"/>
      <c r="K57" s="312"/>
      <c r="L57" s="308"/>
      <c r="M57" s="302"/>
      <c r="N57" s="301"/>
      <c r="O57" s="301"/>
      <c r="P57" s="301"/>
    </row>
    <row r="58" spans="1:16" x14ac:dyDescent="0.25">
      <c r="A58" s="296" t="s">
        <v>247</v>
      </c>
      <c r="B58" s="308"/>
      <c r="C58" s="302"/>
      <c r="D58" s="301"/>
      <c r="E58" s="301"/>
      <c r="F58" s="312"/>
      <c r="G58" s="308"/>
      <c r="H58" s="302"/>
      <c r="I58" s="301"/>
      <c r="J58" s="301"/>
      <c r="K58" s="312"/>
      <c r="L58" s="308"/>
      <c r="M58" s="302"/>
      <c r="N58" s="301"/>
      <c r="O58" s="301"/>
      <c r="P58" s="301"/>
    </row>
    <row r="59" spans="1:16" x14ac:dyDescent="0.25">
      <c r="A59" s="296" t="s">
        <v>248</v>
      </c>
      <c r="B59" s="308"/>
      <c r="C59" s="302"/>
      <c r="D59" s="301"/>
      <c r="E59" s="301"/>
      <c r="F59" s="312"/>
      <c r="G59" s="308"/>
      <c r="H59" s="302"/>
      <c r="I59" s="301"/>
      <c r="J59" s="301"/>
      <c r="K59" s="312"/>
      <c r="L59" s="308"/>
      <c r="M59" s="302"/>
      <c r="N59" s="301"/>
      <c r="O59" s="301"/>
      <c r="P59" s="301"/>
    </row>
    <row r="60" spans="1:16" x14ac:dyDescent="0.25">
      <c r="A60" s="296" t="s">
        <v>249</v>
      </c>
      <c r="B60" s="308"/>
      <c r="C60" s="302"/>
      <c r="D60" s="301"/>
      <c r="E60" s="301"/>
      <c r="F60" s="312"/>
      <c r="G60" s="308"/>
      <c r="H60" s="302"/>
      <c r="I60" s="301"/>
      <c r="J60" s="301"/>
      <c r="K60" s="312"/>
      <c r="L60" s="308"/>
      <c r="M60" s="302"/>
      <c r="N60" s="301"/>
      <c r="O60" s="301"/>
      <c r="P60" s="301"/>
    </row>
    <row r="61" spans="1:16" x14ac:dyDescent="0.25">
      <c r="A61" s="296" t="s">
        <v>250</v>
      </c>
      <c r="B61" s="308"/>
      <c r="C61" s="302"/>
      <c r="D61" s="301"/>
      <c r="E61" s="301"/>
      <c r="F61" s="312"/>
      <c r="G61" s="308"/>
      <c r="H61" s="302"/>
      <c r="I61" s="301"/>
      <c r="J61" s="301"/>
      <c r="K61" s="312"/>
      <c r="L61" s="308"/>
      <c r="M61" s="302"/>
      <c r="N61" s="301"/>
      <c r="O61" s="301"/>
      <c r="P61" s="301"/>
    </row>
    <row r="62" spans="1:16" x14ac:dyDescent="0.25">
      <c r="A62" s="296" t="s">
        <v>251</v>
      </c>
      <c r="B62" s="308"/>
      <c r="C62" s="302"/>
      <c r="D62" s="301"/>
      <c r="E62" s="301"/>
      <c r="F62" s="312"/>
      <c r="G62" s="308"/>
      <c r="H62" s="302"/>
      <c r="I62" s="301"/>
      <c r="J62" s="301"/>
      <c r="K62" s="312"/>
      <c r="L62" s="308"/>
      <c r="M62" s="302"/>
      <c r="N62" s="301"/>
      <c r="O62" s="301"/>
      <c r="P62" s="301"/>
    </row>
    <row r="63" spans="1:16" x14ac:dyDescent="0.25">
      <c r="A63" s="296" t="s">
        <v>252</v>
      </c>
      <c r="B63" s="308"/>
      <c r="C63" s="302"/>
      <c r="D63" s="301"/>
      <c r="E63" s="301"/>
      <c r="F63" s="312"/>
      <c r="G63" s="308"/>
      <c r="H63" s="302"/>
      <c r="I63" s="301"/>
      <c r="J63" s="301"/>
      <c r="K63" s="312"/>
      <c r="L63" s="308"/>
      <c r="M63" s="302"/>
      <c r="N63" s="301"/>
      <c r="O63" s="301"/>
      <c r="P63" s="301"/>
    </row>
    <row r="64" spans="1:16" x14ac:dyDescent="0.25">
      <c r="A64" s="296" t="s">
        <v>253</v>
      </c>
      <c r="B64" s="308"/>
      <c r="C64" s="302"/>
      <c r="D64" s="301"/>
      <c r="E64" s="301"/>
      <c r="F64" s="312"/>
      <c r="G64" s="308"/>
      <c r="H64" s="302"/>
      <c r="I64" s="301"/>
      <c r="J64" s="301"/>
      <c r="K64" s="312"/>
      <c r="L64" s="308"/>
      <c r="M64" s="302"/>
      <c r="N64" s="301"/>
      <c r="O64" s="301"/>
      <c r="P64" s="301"/>
    </row>
    <row r="65" spans="1:16" x14ac:dyDescent="0.25">
      <c r="A65" s="296" t="s">
        <v>254</v>
      </c>
      <c r="B65" s="308"/>
      <c r="C65" s="302"/>
      <c r="D65" s="301"/>
      <c r="E65" s="301"/>
      <c r="F65" s="312"/>
      <c r="G65" s="308"/>
      <c r="H65" s="302"/>
      <c r="I65" s="301"/>
      <c r="J65" s="301"/>
      <c r="K65" s="312"/>
      <c r="L65" s="308"/>
      <c r="M65" s="302"/>
      <c r="N65" s="301"/>
      <c r="O65" s="301"/>
      <c r="P65" s="301"/>
    </row>
    <row r="66" spans="1:16" x14ac:dyDescent="0.25">
      <c r="A66" s="296" t="s">
        <v>255</v>
      </c>
      <c r="B66" s="308"/>
      <c r="C66" s="302"/>
      <c r="D66" s="301"/>
      <c r="E66" s="301"/>
      <c r="F66" s="312"/>
      <c r="G66" s="308"/>
      <c r="H66" s="302"/>
      <c r="I66" s="301"/>
      <c r="J66" s="301"/>
      <c r="K66" s="312"/>
      <c r="L66" s="308"/>
      <c r="M66" s="302"/>
      <c r="N66" s="301"/>
      <c r="O66" s="301"/>
      <c r="P66" s="301"/>
    </row>
    <row r="67" spans="1:16" x14ac:dyDescent="0.25">
      <c r="A67" s="296" t="s">
        <v>256</v>
      </c>
      <c r="B67" s="308"/>
      <c r="C67" s="302"/>
      <c r="D67" s="301"/>
      <c r="E67" s="301"/>
      <c r="F67" s="312"/>
      <c r="G67" s="308"/>
      <c r="H67" s="302"/>
      <c r="I67" s="301"/>
      <c r="J67" s="301"/>
      <c r="K67" s="312"/>
      <c r="L67" s="308"/>
      <c r="M67" s="302"/>
      <c r="N67" s="301"/>
      <c r="O67" s="301"/>
      <c r="P67" s="301"/>
    </row>
    <row r="68" spans="1:16" x14ac:dyDescent="0.25">
      <c r="A68" s="296" t="s">
        <v>257</v>
      </c>
      <c r="B68" s="308"/>
      <c r="C68" s="302"/>
      <c r="D68" s="301"/>
      <c r="E68" s="301"/>
      <c r="F68" s="312"/>
      <c r="G68" s="308"/>
      <c r="H68" s="302"/>
      <c r="I68" s="301"/>
      <c r="J68" s="301"/>
      <c r="K68" s="312"/>
      <c r="L68" s="308"/>
      <c r="M68" s="302"/>
      <c r="N68" s="301"/>
      <c r="O68" s="301"/>
      <c r="P68" s="301"/>
    </row>
    <row r="69" spans="1:16" x14ac:dyDescent="0.25">
      <c r="A69" s="296" t="s">
        <v>258</v>
      </c>
      <c r="B69" s="308"/>
      <c r="C69" s="302"/>
      <c r="D69" s="301"/>
      <c r="E69" s="301"/>
      <c r="F69" s="312"/>
      <c r="G69" s="308"/>
      <c r="H69" s="302"/>
      <c r="I69" s="301"/>
      <c r="J69" s="301"/>
      <c r="K69" s="312"/>
      <c r="L69" s="308"/>
      <c r="M69" s="302"/>
      <c r="N69" s="301"/>
      <c r="O69" s="301"/>
      <c r="P69" s="301"/>
    </row>
    <row r="70" spans="1:16" ht="15.75" thickBot="1" x14ac:dyDescent="0.3">
      <c r="A70" s="297" t="s">
        <v>259</v>
      </c>
      <c r="B70" s="309"/>
      <c r="C70" s="298"/>
      <c r="D70" s="244"/>
      <c r="E70" s="244"/>
      <c r="F70" s="313"/>
      <c r="G70" s="309"/>
      <c r="H70" s="298"/>
      <c r="I70" s="244"/>
      <c r="J70" s="244"/>
      <c r="K70" s="313"/>
      <c r="L70" s="309"/>
      <c r="M70" s="298"/>
      <c r="N70" s="244"/>
      <c r="O70" s="244"/>
      <c r="P70" s="244"/>
    </row>
  </sheetData>
  <phoneticPr fontId="74" type="noConversion"/>
  <pageMargins left="0.7" right="0.7" top="0.75" bottom="0.75" header="0.3" footer="0.3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view="pageBreakPreview" zoomScale="130" zoomScaleSheetLayoutView="130" workbookViewId="0"/>
  </sheetViews>
  <sheetFormatPr defaultColWidth="8.85546875" defaultRowHeight="15" x14ac:dyDescent="0.25"/>
  <cols>
    <col min="1" max="1" width="25.42578125" customWidth="1"/>
    <col min="2" max="2" width="79" bestFit="1" customWidth="1"/>
    <col min="3" max="3" width="70" bestFit="1" customWidth="1"/>
  </cols>
  <sheetData>
    <row r="1" spans="1:3" ht="19.5" thickBot="1" x14ac:dyDescent="0.35">
      <c r="A1" s="316" t="s">
        <v>262</v>
      </c>
    </row>
    <row r="2" spans="1:3" ht="15.75" thickBot="1" x14ac:dyDescent="0.3">
      <c r="A2" s="324" t="s">
        <v>284</v>
      </c>
      <c r="B2" s="325" t="s">
        <v>285</v>
      </c>
      <c r="C2" s="326" t="s">
        <v>290</v>
      </c>
    </row>
    <row r="3" spans="1:3" x14ac:dyDescent="0.25">
      <c r="A3" s="340" t="s">
        <v>263</v>
      </c>
      <c r="B3" s="327" t="s">
        <v>287</v>
      </c>
      <c r="C3" s="246" t="s">
        <v>286</v>
      </c>
    </row>
    <row r="4" spans="1:3" x14ac:dyDescent="0.25">
      <c r="A4" s="341" t="s">
        <v>264</v>
      </c>
      <c r="B4" s="328" t="s">
        <v>288</v>
      </c>
      <c r="C4" s="329" t="s">
        <v>289</v>
      </c>
    </row>
    <row r="5" spans="1:3" x14ac:dyDescent="0.25">
      <c r="A5" s="341" t="s">
        <v>265</v>
      </c>
      <c r="B5" s="328" t="s">
        <v>291</v>
      </c>
      <c r="C5" s="329" t="s">
        <v>289</v>
      </c>
    </row>
    <row r="6" spans="1:3" x14ac:dyDescent="0.25">
      <c r="A6" s="341" t="s">
        <v>213</v>
      </c>
      <c r="B6" s="328" t="s">
        <v>292</v>
      </c>
      <c r="C6" s="244" t="s">
        <v>294</v>
      </c>
    </row>
    <row r="7" spans="1:3" x14ac:dyDescent="0.25">
      <c r="A7" s="341" t="s">
        <v>266</v>
      </c>
      <c r="B7" s="328" t="s">
        <v>293</v>
      </c>
      <c r="C7" s="329" t="s">
        <v>289</v>
      </c>
    </row>
    <row r="8" spans="1:3" x14ac:dyDescent="0.25">
      <c r="A8" s="341" t="s">
        <v>267</v>
      </c>
      <c r="B8" s="328" t="s">
        <v>295</v>
      </c>
      <c r="C8" s="244" t="s">
        <v>296</v>
      </c>
    </row>
    <row r="9" spans="1:3" x14ac:dyDescent="0.25">
      <c r="A9" s="341" t="s">
        <v>268</v>
      </c>
      <c r="B9" s="328" t="s">
        <v>297</v>
      </c>
      <c r="C9" s="329" t="s">
        <v>289</v>
      </c>
    </row>
    <row r="10" spans="1:3" x14ac:dyDescent="0.25">
      <c r="A10" s="341" t="s">
        <v>269</v>
      </c>
      <c r="B10" s="328" t="s">
        <v>298</v>
      </c>
      <c r="C10" s="244" t="s">
        <v>296</v>
      </c>
    </row>
    <row r="11" spans="1:3" x14ac:dyDescent="0.25">
      <c r="A11" s="341" t="s">
        <v>270</v>
      </c>
      <c r="B11" s="328" t="s">
        <v>299</v>
      </c>
      <c r="C11" s="244" t="s">
        <v>296</v>
      </c>
    </row>
    <row r="12" spans="1:3" x14ac:dyDescent="0.25">
      <c r="A12" s="341" t="s">
        <v>271</v>
      </c>
      <c r="B12" s="328" t="s">
        <v>300</v>
      </c>
      <c r="C12" s="244" t="s">
        <v>296</v>
      </c>
    </row>
    <row r="13" spans="1:3" x14ac:dyDescent="0.25">
      <c r="A13" s="341" t="s">
        <v>272</v>
      </c>
      <c r="B13" s="328" t="s">
        <v>301</v>
      </c>
      <c r="C13" s="244" t="s">
        <v>296</v>
      </c>
    </row>
    <row r="14" spans="1:3" x14ac:dyDescent="0.25">
      <c r="A14" s="341" t="s">
        <v>273</v>
      </c>
      <c r="B14" s="328" t="s">
        <v>335</v>
      </c>
      <c r="C14" s="244" t="s">
        <v>302</v>
      </c>
    </row>
    <row r="15" spans="1:3" x14ac:dyDescent="0.25">
      <c r="A15" s="341" t="s">
        <v>334</v>
      </c>
      <c r="B15" s="328" t="s">
        <v>336</v>
      </c>
      <c r="C15" s="244" t="s">
        <v>296</v>
      </c>
    </row>
    <row r="16" spans="1:3" x14ac:dyDescent="0.25">
      <c r="A16" s="341" t="s">
        <v>278</v>
      </c>
      <c r="B16" s="328" t="s">
        <v>303</v>
      </c>
      <c r="C16" s="244" t="s">
        <v>304</v>
      </c>
    </row>
    <row r="17" spans="1:3" x14ac:dyDescent="0.25">
      <c r="A17" s="341" t="s">
        <v>279</v>
      </c>
      <c r="B17" s="328" t="s">
        <v>305</v>
      </c>
      <c r="C17" s="244" t="s">
        <v>306</v>
      </c>
    </row>
    <row r="18" spans="1:3" ht="30" x14ac:dyDescent="0.25">
      <c r="A18" s="341" t="s">
        <v>280</v>
      </c>
      <c r="B18" s="339" t="s">
        <v>307</v>
      </c>
      <c r="C18" s="342" t="s">
        <v>308</v>
      </c>
    </row>
    <row r="19" spans="1:3" x14ac:dyDescent="0.25">
      <c r="A19" s="341" t="s">
        <v>281</v>
      </c>
      <c r="B19" s="328" t="s">
        <v>309</v>
      </c>
      <c r="C19" s="244" t="s">
        <v>310</v>
      </c>
    </row>
    <row r="20" spans="1:3" x14ac:dyDescent="0.25">
      <c r="A20" s="341" t="s">
        <v>282</v>
      </c>
      <c r="B20" s="328" t="s">
        <v>311</v>
      </c>
      <c r="C20" s="244" t="s">
        <v>313</v>
      </c>
    </row>
    <row r="21" spans="1:3" x14ac:dyDescent="0.25">
      <c r="A21" s="341" t="s">
        <v>283</v>
      </c>
      <c r="B21" s="328" t="s">
        <v>312</v>
      </c>
      <c r="C21" s="244" t="s">
        <v>313</v>
      </c>
    </row>
  </sheetData>
  <sheetProtection password="C3D8" sheet="1" objects="1" scenarios="1"/>
  <phoneticPr fontId="74" type="noConversion"/>
  <hyperlinks>
    <hyperlink ref="A3" location="Sumarizácia!R1C1" display="Sumarizácia"/>
    <hyperlink ref="A4" location="'CBA - Agendové IS'!R1C1" display="CBA"/>
    <hyperlink ref="A5" location="'Analyza citlivosti - AgendovéIS'!R1C1" display="Analyza citlivosti"/>
    <hyperlink ref="A6" location="'Prínosy - Agendové IS'!R1C1" display="Prínosy"/>
    <hyperlink ref="A7" location="'Výdavky - Agendové IS'!R1C1" display="Výdavky"/>
    <hyperlink ref="A8" location="'Parametre - Agendové IS'!R1C1" display="Parametre"/>
    <hyperlink ref="A9" location="TCO!R1C1" display="TCO"/>
    <hyperlink ref="A10" location="'TCO Alt. 1 - SW'!R1C1" display="TCO Alt. 1 - SW"/>
    <hyperlink ref="A11" location="'TCO Alt. 1 - HW'!R1C1" display="TCO Alt. 1 - HW"/>
    <hyperlink ref="A12" location="'TCO Alt. 2 - SW'!R1C1" display="TCO Alt. 2 - SW"/>
    <hyperlink ref="A13" location="'TCO Alt. 2 - HW'!R1C1" display="TCO Alt. 2 - HW"/>
    <hyperlink ref="A14" location="'Rozpočet - vývoj Aplikácií'!R1C1" display="Rozpočet - vývoj aplikácii"/>
    <hyperlink ref="A16" location="'Slepý rozpočet'!R1C1" display="Slepý rozpočet"/>
    <hyperlink ref="A17" location="Faktory!R1C1" display="Faktory"/>
    <hyperlink ref="A18" location="'Meranie prínosov'!R1C1" display="Meranie prínosov"/>
    <hyperlink ref="A19" location="'Procesné mapy'!R1C1" display="Procesné mapy"/>
    <hyperlink ref="A20" location="'Procesy - AS IS'!R1C1" display="Procesy AS IS"/>
    <hyperlink ref="A21" location="'Procesy - TO BE'!R1C1" display="Procesy TO BE"/>
    <hyperlink ref="A15" location="'Rozpočet - HW a licencie'!R1C1" display="Rozpočet - HW a licencie"/>
  </hyperlinks>
  <pageMargins left="0.7" right="0.7" top="0.75" bottom="0.75" header="0.3" footer="0.3"/>
  <pageSetup paperSize="9" scale="5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AC70"/>
  <sheetViews>
    <sheetView view="pageBreakPreview" zoomScale="116" zoomScaleSheetLayoutView="116" workbookViewId="0">
      <selection activeCell="O41" sqref="O41"/>
    </sheetView>
  </sheetViews>
  <sheetFormatPr defaultColWidth="8.85546875" defaultRowHeight="15" x14ac:dyDescent="0.25"/>
  <cols>
    <col min="1" max="1" width="21.42578125" customWidth="1"/>
    <col min="2" max="2" width="33" customWidth="1"/>
    <col min="3" max="3" width="14.28515625" style="282" customWidth="1"/>
    <col min="4" max="4" width="14.140625" style="282" customWidth="1"/>
    <col min="5" max="5" width="14.85546875" style="282" customWidth="1"/>
    <col min="6" max="6" width="11.85546875" style="282" customWidth="1"/>
    <col min="7" max="7" width="15.85546875" style="282" customWidth="1"/>
    <col min="8" max="8" width="13.42578125" style="282" customWidth="1"/>
    <col min="9" max="9" width="14.140625" style="282" customWidth="1"/>
    <col min="10" max="10" width="14.85546875" style="282" customWidth="1"/>
    <col min="11" max="11" width="11.85546875" style="282" customWidth="1"/>
    <col min="12" max="12" width="15.85546875" style="282" customWidth="1"/>
    <col min="13" max="13" width="13.42578125" style="282" customWidth="1"/>
    <col min="14" max="14" width="14.140625" style="282" customWidth="1"/>
    <col min="15" max="16" width="14.85546875" style="282" customWidth="1"/>
    <col min="17" max="28" width="8.42578125" style="282" customWidth="1"/>
  </cols>
  <sheetData>
    <row r="1" spans="1:29" ht="15.75" thickBot="1" x14ac:dyDescent="0.3"/>
    <row r="2" spans="1:29" ht="48.75" customHeight="1" thickBot="1" x14ac:dyDescent="0.3">
      <c r="A2" s="285" t="s">
        <v>228</v>
      </c>
      <c r="B2" s="305" t="s">
        <v>373</v>
      </c>
      <c r="C2" s="303" t="s">
        <v>375</v>
      </c>
      <c r="D2" s="286" t="s">
        <v>376</v>
      </c>
      <c r="E2" s="286" t="s">
        <v>377</v>
      </c>
      <c r="F2" s="286" t="s">
        <v>378</v>
      </c>
      <c r="G2" s="305" t="s">
        <v>374</v>
      </c>
      <c r="H2" s="303" t="s">
        <v>375</v>
      </c>
      <c r="I2" s="286" t="s">
        <v>376</v>
      </c>
      <c r="J2" s="286" t="s">
        <v>377</v>
      </c>
      <c r="K2" s="286" t="s">
        <v>378</v>
      </c>
      <c r="L2" s="305" t="s">
        <v>366</v>
      </c>
      <c r="M2" s="303" t="s">
        <v>375</v>
      </c>
      <c r="N2" s="286" t="s">
        <v>376</v>
      </c>
      <c r="O2" s="286" t="s">
        <v>377</v>
      </c>
      <c r="P2" s="286" t="s">
        <v>378</v>
      </c>
      <c r="Q2" s="288"/>
      <c r="R2" s="289"/>
      <c r="S2" s="289"/>
      <c r="T2" s="289"/>
      <c r="U2" s="289"/>
      <c r="V2" s="289"/>
      <c r="W2" s="289"/>
      <c r="X2" s="289"/>
      <c r="Y2" s="288"/>
      <c r="Z2" s="288"/>
      <c r="AA2" s="289"/>
      <c r="AB2" s="289"/>
      <c r="AC2" s="289"/>
    </row>
    <row r="3" spans="1:29" x14ac:dyDescent="0.25">
      <c r="A3" s="290" t="s">
        <v>170</v>
      </c>
      <c r="B3" s="306"/>
      <c r="C3" s="304"/>
      <c r="D3" s="300"/>
      <c r="E3" s="300"/>
      <c r="F3" s="311"/>
      <c r="G3" s="314"/>
      <c r="H3" s="304"/>
      <c r="I3" s="300"/>
      <c r="J3" s="300"/>
      <c r="K3" s="311"/>
      <c r="L3" s="314"/>
      <c r="M3" s="304"/>
      <c r="N3" s="300"/>
      <c r="O3" s="300"/>
      <c r="P3" s="300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</row>
    <row r="4" spans="1:29" x14ac:dyDescent="0.25">
      <c r="A4" s="294" t="s">
        <v>229</v>
      </c>
      <c r="B4" s="307" t="s">
        <v>384</v>
      </c>
      <c r="C4" s="302"/>
      <c r="D4" s="301"/>
      <c r="E4" s="301"/>
      <c r="F4" s="312"/>
      <c r="G4" s="308"/>
      <c r="H4" s="302"/>
      <c r="I4" s="301"/>
      <c r="J4" s="301"/>
      <c r="K4" s="312"/>
      <c r="L4" s="308"/>
      <c r="M4" s="302"/>
      <c r="N4" s="301"/>
      <c r="O4" s="301"/>
      <c r="P4" s="301"/>
      <c r="Q4" s="293"/>
      <c r="R4" s="293"/>
      <c r="S4" s="293"/>
      <c r="T4" s="293"/>
      <c r="U4" s="293"/>
      <c r="V4" s="293"/>
      <c r="W4" s="293"/>
      <c r="X4" s="293"/>
      <c r="Y4" s="293"/>
      <c r="Z4" s="293"/>
      <c r="AA4" s="293"/>
      <c r="AB4" s="293"/>
      <c r="AC4" s="293"/>
    </row>
    <row r="5" spans="1:29" ht="15.75" customHeight="1" x14ac:dyDescent="0.25">
      <c r="A5" s="296" t="s">
        <v>230</v>
      </c>
      <c r="B5" s="308">
        <f>SUM(C5:F5)</f>
        <v>7</v>
      </c>
      <c r="C5" s="302"/>
      <c r="D5" s="301"/>
      <c r="E5" s="301">
        <v>7</v>
      </c>
      <c r="F5" s="312"/>
      <c r="G5" s="308">
        <f>SUM(H5:K5)</f>
        <v>4</v>
      </c>
      <c r="H5" s="302"/>
      <c r="I5" s="301"/>
      <c r="J5" s="301">
        <v>4</v>
      </c>
      <c r="K5" s="312"/>
      <c r="L5" s="308">
        <f>SUM(M5:P5)</f>
        <v>20</v>
      </c>
      <c r="M5" s="302"/>
      <c r="N5" s="301"/>
      <c r="O5" s="301">
        <v>20</v>
      </c>
      <c r="P5" s="301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  <c r="AC5" s="293"/>
    </row>
    <row r="6" spans="1:29" x14ac:dyDescent="0.25">
      <c r="A6" s="296" t="s">
        <v>231</v>
      </c>
      <c r="B6" s="308"/>
      <c r="C6" s="302"/>
      <c r="D6" s="301"/>
      <c r="E6" s="301"/>
      <c r="F6" s="312"/>
      <c r="G6" s="308"/>
      <c r="H6" s="302"/>
      <c r="I6" s="301"/>
      <c r="J6" s="301"/>
      <c r="K6" s="312"/>
      <c r="L6" s="308"/>
      <c r="M6" s="302"/>
      <c r="N6" s="301"/>
      <c r="O6" s="301"/>
      <c r="P6" s="301"/>
      <c r="Q6" s="293"/>
      <c r="R6" s="293"/>
      <c r="S6" s="293"/>
      <c r="T6" s="293"/>
      <c r="U6" s="293"/>
      <c r="V6" s="293"/>
      <c r="W6" s="293"/>
      <c r="X6" s="293"/>
      <c r="Y6" s="293"/>
      <c r="Z6" s="293"/>
      <c r="AA6" s="293"/>
      <c r="AB6" s="293"/>
      <c r="AC6" s="293"/>
    </row>
    <row r="7" spans="1:29" x14ac:dyDescent="0.25">
      <c r="A7" s="296" t="s">
        <v>232</v>
      </c>
      <c r="B7" s="308"/>
      <c r="C7" s="302"/>
      <c r="D7" s="301"/>
      <c r="E7" s="301"/>
      <c r="F7" s="312"/>
      <c r="G7" s="308"/>
      <c r="H7" s="302"/>
      <c r="I7" s="301"/>
      <c r="J7" s="301"/>
      <c r="K7" s="312"/>
      <c r="L7" s="308"/>
      <c r="M7" s="302"/>
      <c r="N7" s="301"/>
      <c r="O7" s="301"/>
      <c r="P7" s="301"/>
      <c r="Q7" s="293"/>
      <c r="R7" s="293"/>
      <c r="S7" s="293"/>
      <c r="T7" s="293"/>
      <c r="U7" s="293"/>
      <c r="V7" s="293"/>
      <c r="W7" s="293"/>
      <c r="X7" s="293"/>
      <c r="Y7" s="293"/>
      <c r="Z7" s="293"/>
      <c r="AA7" s="293"/>
      <c r="AB7" s="293"/>
      <c r="AC7" s="293"/>
    </row>
    <row r="8" spans="1:29" x14ac:dyDescent="0.25">
      <c r="A8" s="296" t="s">
        <v>233</v>
      </c>
      <c r="B8" s="308"/>
      <c r="C8" s="302"/>
      <c r="D8" s="301"/>
      <c r="E8" s="301"/>
      <c r="F8" s="312"/>
      <c r="G8" s="308"/>
      <c r="H8" s="302"/>
      <c r="I8" s="301"/>
      <c r="J8" s="301"/>
      <c r="K8" s="312"/>
      <c r="L8" s="308"/>
      <c r="M8" s="302"/>
      <c r="N8" s="301"/>
      <c r="O8" s="301"/>
      <c r="P8" s="301"/>
      <c r="Q8" s="293"/>
      <c r="R8" s="293"/>
      <c r="S8" s="293"/>
      <c r="T8" s="293"/>
      <c r="U8" s="293"/>
      <c r="V8" s="293"/>
      <c r="W8" s="293"/>
      <c r="X8" s="293"/>
      <c r="Y8" s="293"/>
      <c r="Z8" s="293"/>
      <c r="AA8" s="293"/>
      <c r="AB8" s="293"/>
      <c r="AC8" s="293"/>
    </row>
    <row r="9" spans="1:29" x14ac:dyDescent="0.25">
      <c r="A9" s="296" t="s">
        <v>234</v>
      </c>
      <c r="B9" s="308"/>
      <c r="C9" s="302"/>
      <c r="D9" s="301"/>
      <c r="E9" s="301"/>
      <c r="F9" s="312"/>
      <c r="G9" s="308"/>
      <c r="H9" s="302"/>
      <c r="I9" s="301"/>
      <c r="J9" s="301"/>
      <c r="K9" s="312"/>
      <c r="L9" s="308"/>
      <c r="M9" s="302"/>
      <c r="N9" s="301"/>
      <c r="O9" s="301"/>
      <c r="P9" s="301"/>
      <c r="Q9" s="293"/>
      <c r="R9" s="293"/>
      <c r="S9" s="293"/>
      <c r="T9" s="293"/>
      <c r="U9" s="293"/>
      <c r="V9" s="293"/>
      <c r="W9" s="293"/>
      <c r="X9" s="293"/>
      <c r="Y9" s="293"/>
      <c r="Z9" s="293"/>
      <c r="AA9" s="293"/>
      <c r="AB9" s="293"/>
      <c r="AC9" s="293"/>
    </row>
    <row r="10" spans="1:29" x14ac:dyDescent="0.25">
      <c r="A10" s="296" t="s">
        <v>235</v>
      </c>
      <c r="B10" s="308"/>
      <c r="C10" s="302"/>
      <c r="D10" s="301"/>
      <c r="E10" s="301"/>
      <c r="F10" s="312"/>
      <c r="G10" s="308"/>
      <c r="H10" s="302"/>
      <c r="I10" s="301"/>
      <c r="J10" s="301"/>
      <c r="K10" s="312"/>
      <c r="L10" s="308"/>
      <c r="M10" s="302"/>
      <c r="N10" s="301"/>
      <c r="O10" s="301"/>
      <c r="P10" s="301"/>
      <c r="Q10" s="293"/>
      <c r="R10" s="293"/>
      <c r="S10" s="293"/>
      <c r="T10" s="293"/>
      <c r="U10" s="293"/>
      <c r="V10" s="293"/>
      <c r="W10" s="293"/>
      <c r="X10" s="293"/>
      <c r="Y10" s="293"/>
      <c r="Z10" s="293"/>
      <c r="AA10" s="293"/>
      <c r="AB10" s="293"/>
      <c r="AC10" s="293"/>
    </row>
    <row r="11" spans="1:29" x14ac:dyDescent="0.25">
      <c r="A11" s="296" t="s">
        <v>236</v>
      </c>
      <c r="B11" s="308"/>
      <c r="C11" s="302"/>
      <c r="D11" s="301"/>
      <c r="E11" s="301"/>
      <c r="F11" s="312"/>
      <c r="G11" s="308"/>
      <c r="H11" s="302"/>
      <c r="I11" s="301"/>
      <c r="J11" s="301"/>
      <c r="K11" s="312"/>
      <c r="L11" s="308"/>
      <c r="M11" s="302"/>
      <c r="N11" s="301"/>
      <c r="O11" s="301"/>
      <c r="P11" s="301"/>
      <c r="Q11" s="293"/>
      <c r="R11" s="293"/>
      <c r="S11" s="293"/>
      <c r="T11" s="293"/>
      <c r="U11" s="293"/>
      <c r="V11" s="293"/>
      <c r="W11" s="293"/>
      <c r="X11" s="293"/>
      <c r="Y11" s="293"/>
      <c r="Z11" s="293"/>
      <c r="AA11" s="293"/>
      <c r="AB11" s="293"/>
      <c r="AC11" s="293"/>
    </row>
    <row r="12" spans="1:29" x14ac:dyDescent="0.25">
      <c r="A12" s="296" t="s">
        <v>237</v>
      </c>
      <c r="B12" s="308"/>
      <c r="C12" s="302"/>
      <c r="D12" s="301"/>
      <c r="E12" s="301"/>
      <c r="F12" s="312"/>
      <c r="G12" s="308"/>
      <c r="H12" s="302"/>
      <c r="I12" s="301"/>
      <c r="J12" s="301"/>
      <c r="K12" s="312"/>
      <c r="L12" s="308"/>
      <c r="M12" s="302"/>
      <c r="N12" s="301"/>
      <c r="O12" s="301"/>
      <c r="P12" s="301"/>
      <c r="Q12" s="293"/>
      <c r="R12" s="293"/>
      <c r="S12" s="293"/>
      <c r="T12" s="293"/>
      <c r="U12" s="293"/>
      <c r="V12" s="293"/>
      <c r="W12" s="293"/>
      <c r="X12" s="293"/>
      <c r="Y12" s="293"/>
      <c r="Z12" s="293"/>
      <c r="AA12" s="293"/>
      <c r="AB12" s="293"/>
      <c r="AC12" s="293"/>
    </row>
    <row r="13" spans="1:29" x14ac:dyDescent="0.25">
      <c r="A13" s="296" t="s">
        <v>238</v>
      </c>
      <c r="B13" s="308"/>
      <c r="C13" s="302"/>
      <c r="D13" s="301"/>
      <c r="E13" s="301"/>
      <c r="F13" s="312"/>
      <c r="G13" s="308"/>
      <c r="H13" s="302"/>
      <c r="I13" s="301"/>
      <c r="J13" s="301"/>
      <c r="K13" s="312"/>
      <c r="L13" s="308"/>
      <c r="M13" s="302"/>
      <c r="N13" s="301"/>
      <c r="O13" s="301"/>
      <c r="P13" s="301"/>
      <c r="Q13" s="293"/>
      <c r="R13" s="293"/>
      <c r="S13" s="293"/>
      <c r="T13" s="293"/>
      <c r="U13" s="293"/>
      <c r="V13" s="293"/>
      <c r="W13" s="293"/>
      <c r="X13" s="293"/>
      <c r="Y13" s="293"/>
      <c r="Z13" s="293"/>
      <c r="AA13" s="293"/>
      <c r="AB13" s="293"/>
      <c r="AC13" s="293"/>
    </row>
    <row r="14" spans="1:29" x14ac:dyDescent="0.25">
      <c r="A14" s="296" t="s">
        <v>239</v>
      </c>
      <c r="B14" s="308"/>
      <c r="C14" s="302"/>
      <c r="D14" s="301"/>
      <c r="E14" s="301"/>
      <c r="F14" s="312"/>
      <c r="G14" s="308"/>
      <c r="H14" s="302"/>
      <c r="I14" s="301"/>
      <c r="J14" s="301"/>
      <c r="K14" s="312"/>
      <c r="L14" s="308"/>
      <c r="M14" s="302"/>
      <c r="N14" s="301"/>
      <c r="O14" s="301"/>
      <c r="P14" s="301"/>
      <c r="Q14" s="293"/>
      <c r="R14" s="293"/>
      <c r="S14" s="293"/>
      <c r="T14" s="293"/>
      <c r="U14" s="293"/>
      <c r="V14" s="293"/>
      <c r="W14" s="293"/>
      <c r="X14" s="293"/>
      <c r="Y14" s="293"/>
      <c r="Z14" s="293"/>
      <c r="AA14" s="293"/>
      <c r="AB14" s="293"/>
      <c r="AC14" s="293"/>
    </row>
    <row r="15" spans="1:29" x14ac:dyDescent="0.25">
      <c r="A15" s="296" t="s">
        <v>240</v>
      </c>
      <c r="B15" s="308"/>
      <c r="C15" s="302"/>
      <c r="D15" s="301"/>
      <c r="E15" s="301"/>
      <c r="F15" s="312"/>
      <c r="G15" s="308"/>
      <c r="H15" s="302"/>
      <c r="I15" s="301"/>
      <c r="J15" s="301"/>
      <c r="K15" s="312"/>
      <c r="L15" s="308"/>
      <c r="M15" s="302"/>
      <c r="N15" s="301"/>
      <c r="O15" s="301"/>
      <c r="P15" s="301"/>
      <c r="Q15" s="293"/>
      <c r="R15" s="293"/>
      <c r="S15" s="293"/>
      <c r="T15" s="293"/>
      <c r="U15" s="293"/>
      <c r="V15" s="293"/>
      <c r="W15" s="293"/>
      <c r="X15" s="293"/>
      <c r="Y15" s="293"/>
      <c r="Z15" s="293"/>
      <c r="AA15" s="293"/>
      <c r="AB15" s="293"/>
      <c r="AC15" s="293"/>
    </row>
    <row r="16" spans="1:29" x14ac:dyDescent="0.25">
      <c r="A16" s="296" t="s">
        <v>241</v>
      </c>
      <c r="B16" s="308"/>
      <c r="C16" s="302"/>
      <c r="D16" s="301"/>
      <c r="E16" s="301"/>
      <c r="F16" s="312"/>
      <c r="G16" s="308"/>
      <c r="H16" s="302"/>
      <c r="I16" s="301"/>
      <c r="J16" s="301"/>
      <c r="K16" s="312"/>
      <c r="L16" s="308"/>
      <c r="M16" s="302"/>
      <c r="N16" s="301"/>
      <c r="O16" s="301"/>
      <c r="P16" s="301"/>
      <c r="Q16" s="293"/>
      <c r="R16" s="293"/>
      <c r="S16" s="293"/>
      <c r="T16" s="293"/>
      <c r="U16" s="293"/>
      <c r="V16" s="293"/>
      <c r="W16" s="293"/>
      <c r="X16" s="293"/>
      <c r="Y16" s="293"/>
      <c r="Z16" s="293"/>
      <c r="AA16" s="293"/>
      <c r="AB16" s="293"/>
      <c r="AC16" s="293"/>
    </row>
    <row r="17" spans="1:29" x14ac:dyDescent="0.25">
      <c r="A17" s="296" t="s">
        <v>242</v>
      </c>
      <c r="B17" s="308"/>
      <c r="C17" s="302"/>
      <c r="D17" s="301"/>
      <c r="E17" s="301"/>
      <c r="F17" s="312"/>
      <c r="G17" s="308"/>
      <c r="H17" s="302"/>
      <c r="I17" s="301"/>
      <c r="J17" s="301"/>
      <c r="K17" s="312"/>
      <c r="L17" s="308"/>
      <c r="M17" s="302"/>
      <c r="N17" s="301"/>
      <c r="O17" s="301"/>
      <c r="P17" s="301"/>
      <c r="Q17" s="293"/>
      <c r="R17" s="293"/>
      <c r="S17" s="293"/>
      <c r="T17" s="293"/>
      <c r="U17" s="293"/>
      <c r="V17" s="293"/>
      <c r="W17" s="293"/>
      <c r="X17" s="293"/>
      <c r="Y17" s="293"/>
      <c r="Z17" s="293"/>
      <c r="AA17" s="293"/>
      <c r="AB17" s="293"/>
      <c r="AC17" s="293"/>
    </row>
    <row r="18" spans="1:29" x14ac:dyDescent="0.25">
      <c r="A18" s="296" t="s">
        <v>243</v>
      </c>
      <c r="B18" s="308"/>
      <c r="C18" s="302"/>
      <c r="D18" s="301"/>
      <c r="E18" s="301"/>
      <c r="F18" s="312"/>
      <c r="G18" s="308"/>
      <c r="H18" s="302"/>
      <c r="I18" s="301"/>
      <c r="J18" s="301"/>
      <c r="K18" s="312"/>
      <c r="L18" s="308"/>
      <c r="M18" s="302"/>
      <c r="N18" s="301"/>
      <c r="O18" s="301"/>
      <c r="P18" s="301"/>
      <c r="Q18" s="293"/>
      <c r="R18" s="293"/>
      <c r="S18" s="293"/>
      <c r="T18" s="293"/>
      <c r="U18" s="293"/>
      <c r="V18" s="293"/>
      <c r="W18" s="293"/>
      <c r="X18" s="293"/>
      <c r="Y18" s="293"/>
      <c r="Z18" s="293"/>
      <c r="AA18" s="293"/>
      <c r="AB18" s="293"/>
      <c r="AC18" s="293"/>
    </row>
    <row r="19" spans="1:29" x14ac:dyDescent="0.25">
      <c r="A19" s="296" t="s">
        <v>244</v>
      </c>
      <c r="B19" s="308"/>
      <c r="C19" s="302"/>
      <c r="D19" s="301"/>
      <c r="E19" s="301"/>
      <c r="F19" s="312"/>
      <c r="G19" s="308"/>
      <c r="H19" s="302"/>
      <c r="I19" s="301"/>
      <c r="J19" s="301"/>
      <c r="K19" s="312"/>
      <c r="L19" s="308"/>
      <c r="M19" s="302"/>
      <c r="N19" s="301"/>
      <c r="O19" s="301"/>
      <c r="P19" s="301"/>
      <c r="Q19" s="293"/>
      <c r="R19" s="293"/>
      <c r="S19" s="293"/>
      <c r="T19" s="293"/>
      <c r="U19" s="293"/>
      <c r="V19" s="293"/>
      <c r="W19" s="293"/>
      <c r="X19" s="293"/>
      <c r="Y19" s="293"/>
      <c r="Z19" s="293"/>
      <c r="AA19" s="293"/>
      <c r="AB19" s="293"/>
      <c r="AC19" s="293"/>
    </row>
    <row r="20" spans="1:29" x14ac:dyDescent="0.25">
      <c r="A20" s="296" t="s">
        <v>245</v>
      </c>
      <c r="B20" s="308"/>
      <c r="C20" s="302"/>
      <c r="D20" s="301"/>
      <c r="E20" s="301"/>
      <c r="F20" s="312"/>
      <c r="G20" s="308"/>
      <c r="H20" s="302"/>
      <c r="I20" s="301"/>
      <c r="J20" s="301"/>
      <c r="K20" s="312"/>
      <c r="L20" s="308"/>
      <c r="M20" s="302"/>
      <c r="N20" s="301"/>
      <c r="O20" s="301"/>
      <c r="P20" s="301"/>
      <c r="Q20" s="293"/>
      <c r="R20" s="293"/>
      <c r="S20" s="293"/>
      <c r="T20" s="293"/>
      <c r="U20" s="293"/>
      <c r="V20" s="293"/>
      <c r="W20" s="293"/>
      <c r="X20" s="293"/>
      <c r="Y20" s="293"/>
      <c r="Z20" s="293"/>
      <c r="AA20" s="293"/>
      <c r="AB20" s="293"/>
      <c r="AC20" s="293"/>
    </row>
    <row r="21" spans="1:29" x14ac:dyDescent="0.25">
      <c r="A21" s="296" t="s">
        <v>246</v>
      </c>
      <c r="B21" s="308"/>
      <c r="C21" s="302"/>
      <c r="D21" s="301"/>
      <c r="E21" s="301"/>
      <c r="F21" s="312"/>
      <c r="G21" s="308"/>
      <c r="H21" s="302"/>
      <c r="I21" s="301"/>
      <c r="J21" s="301"/>
      <c r="K21" s="312"/>
      <c r="L21" s="308"/>
      <c r="M21" s="302"/>
      <c r="N21" s="301"/>
      <c r="O21" s="301"/>
      <c r="P21" s="301"/>
      <c r="Q21" s="293"/>
      <c r="R21" s="293"/>
      <c r="S21" s="293"/>
      <c r="T21" s="293"/>
      <c r="U21" s="293"/>
      <c r="V21" s="293"/>
      <c r="W21" s="293"/>
      <c r="X21" s="293"/>
      <c r="Y21" s="293"/>
      <c r="Z21" s="293"/>
      <c r="AA21" s="293"/>
      <c r="AB21" s="293"/>
      <c r="AC21" s="293"/>
    </row>
    <row r="22" spans="1:29" x14ac:dyDescent="0.25">
      <c r="A22" s="296" t="s">
        <v>247</v>
      </c>
      <c r="B22" s="308"/>
      <c r="C22" s="302"/>
      <c r="D22" s="301"/>
      <c r="E22" s="301"/>
      <c r="F22" s="312"/>
      <c r="G22" s="308"/>
      <c r="H22" s="302"/>
      <c r="I22" s="301"/>
      <c r="J22" s="301"/>
      <c r="K22" s="312"/>
      <c r="L22" s="308"/>
      <c r="M22" s="302"/>
      <c r="N22" s="301"/>
      <c r="O22" s="301"/>
      <c r="P22" s="301"/>
      <c r="Q22" s="293"/>
      <c r="R22" s="293"/>
      <c r="S22" s="293"/>
      <c r="T22" s="293"/>
      <c r="U22" s="293"/>
      <c r="V22" s="293"/>
      <c r="W22" s="293"/>
      <c r="X22" s="293"/>
      <c r="Y22" s="293"/>
      <c r="Z22" s="293"/>
      <c r="AA22" s="293"/>
      <c r="AB22" s="293"/>
      <c r="AC22" s="293"/>
    </row>
    <row r="23" spans="1:29" x14ac:dyDescent="0.25">
      <c r="A23" s="296" t="s">
        <v>248</v>
      </c>
      <c r="B23" s="308"/>
      <c r="C23" s="302"/>
      <c r="D23" s="301"/>
      <c r="E23" s="301"/>
      <c r="F23" s="312"/>
      <c r="G23" s="308"/>
      <c r="H23" s="302"/>
      <c r="I23" s="301"/>
      <c r="J23" s="301"/>
      <c r="K23" s="312"/>
      <c r="L23" s="308"/>
      <c r="M23" s="302"/>
      <c r="N23" s="301"/>
      <c r="O23" s="301"/>
      <c r="P23" s="301"/>
      <c r="Q23" s="293"/>
      <c r="R23" s="293"/>
      <c r="S23" s="293"/>
      <c r="T23" s="293"/>
      <c r="U23" s="293"/>
      <c r="V23" s="293"/>
      <c r="W23" s="293"/>
      <c r="X23" s="293"/>
      <c r="Y23" s="293"/>
      <c r="Z23" s="293"/>
      <c r="AA23" s="293"/>
      <c r="AB23" s="293"/>
      <c r="AC23" s="293"/>
    </row>
    <row r="24" spans="1:29" x14ac:dyDescent="0.25">
      <c r="A24" s="296" t="s">
        <v>249</v>
      </c>
      <c r="B24" s="308"/>
      <c r="C24" s="302"/>
      <c r="D24" s="301"/>
      <c r="E24" s="301"/>
      <c r="F24" s="312"/>
      <c r="G24" s="308"/>
      <c r="H24" s="302"/>
      <c r="I24" s="301"/>
      <c r="J24" s="301"/>
      <c r="K24" s="312"/>
      <c r="L24" s="308"/>
      <c r="M24" s="302"/>
      <c r="N24" s="301"/>
      <c r="O24" s="301"/>
      <c r="P24" s="301"/>
      <c r="Q24" s="293"/>
      <c r="R24" s="293"/>
      <c r="S24" s="293"/>
      <c r="T24" s="293"/>
      <c r="U24" s="293"/>
      <c r="V24" s="293"/>
      <c r="W24" s="293"/>
      <c r="X24" s="293"/>
      <c r="Y24" s="293"/>
      <c r="Z24" s="293"/>
      <c r="AA24" s="293"/>
      <c r="AB24" s="293"/>
      <c r="AC24" s="293"/>
    </row>
    <row r="25" spans="1:29" x14ac:dyDescent="0.25">
      <c r="A25" s="296" t="s">
        <v>250</v>
      </c>
      <c r="B25" s="308"/>
      <c r="C25" s="302"/>
      <c r="D25" s="301"/>
      <c r="E25" s="301"/>
      <c r="F25" s="312"/>
      <c r="G25" s="308"/>
      <c r="H25" s="302"/>
      <c r="I25" s="301"/>
      <c r="J25" s="301"/>
      <c r="K25" s="312"/>
      <c r="L25" s="308"/>
      <c r="M25" s="302"/>
      <c r="N25" s="301"/>
      <c r="O25" s="301"/>
      <c r="P25" s="301"/>
      <c r="Q25" s="293"/>
      <c r="R25" s="293"/>
      <c r="S25" s="293"/>
      <c r="T25" s="293"/>
      <c r="U25" s="293"/>
      <c r="V25" s="293"/>
      <c r="W25" s="293"/>
      <c r="X25" s="293"/>
      <c r="Y25" s="293"/>
      <c r="Z25" s="293"/>
      <c r="AA25" s="293"/>
      <c r="AB25" s="293"/>
      <c r="AC25" s="293"/>
    </row>
    <row r="26" spans="1:29" x14ac:dyDescent="0.25">
      <c r="A26" s="296" t="s">
        <v>251</v>
      </c>
      <c r="B26" s="308"/>
      <c r="C26" s="302"/>
      <c r="D26" s="301"/>
      <c r="E26" s="301"/>
      <c r="F26" s="312"/>
      <c r="G26" s="308"/>
      <c r="H26" s="302"/>
      <c r="I26" s="301"/>
      <c r="J26" s="301"/>
      <c r="K26" s="312"/>
      <c r="L26" s="308"/>
      <c r="M26" s="302"/>
      <c r="N26" s="301"/>
      <c r="O26" s="301"/>
      <c r="P26" s="301"/>
      <c r="Q26" s="293"/>
      <c r="R26" s="293"/>
      <c r="S26" s="293"/>
      <c r="T26" s="293"/>
      <c r="U26" s="293"/>
      <c r="V26" s="293"/>
      <c r="W26" s="293"/>
      <c r="X26" s="293"/>
      <c r="Y26" s="293"/>
      <c r="Z26" s="293"/>
      <c r="AA26" s="293"/>
      <c r="AB26" s="293"/>
      <c r="AC26" s="293"/>
    </row>
    <row r="27" spans="1:29" x14ac:dyDescent="0.25">
      <c r="A27" s="296" t="s">
        <v>252</v>
      </c>
      <c r="B27" s="308"/>
      <c r="C27" s="302"/>
      <c r="D27" s="301"/>
      <c r="E27" s="301"/>
      <c r="F27" s="312"/>
      <c r="G27" s="308"/>
      <c r="H27" s="302"/>
      <c r="I27" s="301"/>
      <c r="J27" s="301"/>
      <c r="K27" s="312"/>
      <c r="L27" s="308"/>
      <c r="M27" s="302"/>
      <c r="N27" s="301"/>
      <c r="O27" s="301"/>
      <c r="P27" s="301"/>
      <c r="Q27" s="293"/>
      <c r="R27" s="293"/>
      <c r="S27" s="293"/>
      <c r="T27" s="293"/>
      <c r="U27" s="293"/>
      <c r="V27" s="293"/>
      <c r="W27" s="293"/>
      <c r="X27" s="293"/>
      <c r="Y27" s="293"/>
      <c r="Z27" s="293"/>
      <c r="AA27" s="293"/>
      <c r="AB27" s="293"/>
      <c r="AC27" s="293"/>
    </row>
    <row r="28" spans="1:29" x14ac:dyDescent="0.25">
      <c r="A28" s="296" t="s">
        <v>253</v>
      </c>
      <c r="B28" s="308"/>
      <c r="C28" s="302"/>
      <c r="D28" s="301"/>
      <c r="E28" s="301"/>
      <c r="F28" s="312"/>
      <c r="G28" s="308"/>
      <c r="H28" s="302"/>
      <c r="I28" s="301"/>
      <c r="J28" s="301"/>
      <c r="K28" s="312"/>
      <c r="L28" s="308"/>
      <c r="M28" s="302"/>
      <c r="N28" s="301"/>
      <c r="O28" s="301"/>
      <c r="P28" s="301"/>
      <c r="Q28" s="293"/>
      <c r="R28" s="293"/>
      <c r="S28" s="293"/>
      <c r="T28" s="293"/>
      <c r="U28" s="293"/>
      <c r="V28" s="293"/>
      <c r="W28" s="293"/>
      <c r="X28" s="293"/>
      <c r="Y28" s="293"/>
      <c r="Z28" s="293"/>
      <c r="AA28" s="293"/>
      <c r="AB28" s="293"/>
      <c r="AC28" s="293"/>
    </row>
    <row r="29" spans="1:29" x14ac:dyDescent="0.25">
      <c r="A29" s="296" t="s">
        <v>254</v>
      </c>
      <c r="B29" s="308"/>
      <c r="C29" s="302"/>
      <c r="D29" s="301"/>
      <c r="E29" s="301"/>
      <c r="F29" s="312"/>
      <c r="G29" s="308"/>
      <c r="H29" s="302"/>
      <c r="I29" s="301"/>
      <c r="J29" s="301"/>
      <c r="K29" s="312"/>
      <c r="L29" s="308"/>
      <c r="M29" s="302"/>
      <c r="N29" s="301"/>
      <c r="O29" s="301"/>
      <c r="P29" s="301"/>
      <c r="Q29" s="293"/>
      <c r="R29" s="293"/>
      <c r="S29" s="293"/>
      <c r="T29" s="293"/>
      <c r="U29" s="293"/>
      <c r="V29" s="293"/>
      <c r="W29" s="293"/>
      <c r="X29" s="293"/>
      <c r="Y29" s="293"/>
      <c r="Z29" s="293"/>
      <c r="AA29" s="293"/>
      <c r="AB29" s="293"/>
      <c r="AC29" s="293"/>
    </row>
    <row r="30" spans="1:29" x14ac:dyDescent="0.25">
      <c r="A30" s="296" t="s">
        <v>255</v>
      </c>
      <c r="B30" s="308"/>
      <c r="C30" s="302"/>
      <c r="D30" s="301"/>
      <c r="E30" s="301"/>
      <c r="F30" s="312"/>
      <c r="G30" s="308"/>
      <c r="H30" s="302"/>
      <c r="I30" s="301"/>
      <c r="J30" s="301"/>
      <c r="K30" s="312"/>
      <c r="L30" s="308"/>
      <c r="M30" s="302"/>
      <c r="N30" s="301"/>
      <c r="O30" s="301"/>
      <c r="P30" s="301"/>
      <c r="Q30" s="293"/>
      <c r="R30" s="293"/>
      <c r="S30" s="293"/>
      <c r="T30" s="293"/>
      <c r="U30" s="293"/>
      <c r="V30" s="293"/>
      <c r="W30" s="293"/>
      <c r="X30" s="293"/>
      <c r="Y30" s="293"/>
      <c r="Z30" s="293"/>
      <c r="AA30" s="293"/>
      <c r="AB30" s="293"/>
      <c r="AC30" s="293"/>
    </row>
    <row r="31" spans="1:29" x14ac:dyDescent="0.25">
      <c r="A31" s="296" t="s">
        <v>256</v>
      </c>
      <c r="B31" s="308"/>
      <c r="C31" s="302"/>
      <c r="D31" s="301"/>
      <c r="E31" s="301"/>
      <c r="F31" s="312"/>
      <c r="G31" s="308"/>
      <c r="H31" s="302"/>
      <c r="I31" s="301"/>
      <c r="J31" s="301"/>
      <c r="K31" s="312"/>
      <c r="L31" s="308"/>
      <c r="M31" s="302"/>
      <c r="N31" s="301"/>
      <c r="O31" s="301"/>
      <c r="P31" s="301"/>
      <c r="Q31" s="293"/>
      <c r="R31" s="293"/>
      <c r="S31" s="293"/>
      <c r="T31" s="293"/>
      <c r="U31" s="293"/>
      <c r="V31" s="293"/>
      <c r="W31" s="293"/>
      <c r="X31" s="293"/>
      <c r="Y31" s="293"/>
      <c r="Z31" s="293"/>
      <c r="AA31" s="293"/>
      <c r="AB31" s="293"/>
      <c r="AC31" s="293"/>
    </row>
    <row r="32" spans="1:29" x14ac:dyDescent="0.25">
      <c r="A32" s="296" t="s">
        <v>257</v>
      </c>
      <c r="B32" s="308"/>
      <c r="C32" s="302"/>
      <c r="D32" s="301"/>
      <c r="E32" s="301"/>
      <c r="F32" s="312"/>
      <c r="G32" s="308"/>
      <c r="H32" s="302"/>
      <c r="I32" s="301"/>
      <c r="J32" s="301"/>
      <c r="K32" s="312"/>
      <c r="L32" s="308"/>
      <c r="M32" s="302"/>
      <c r="N32" s="301"/>
      <c r="O32" s="301"/>
      <c r="P32" s="301"/>
      <c r="Q32" s="293"/>
      <c r="R32" s="293"/>
      <c r="S32" s="293"/>
      <c r="T32" s="293"/>
      <c r="U32" s="293"/>
      <c r="V32" s="293"/>
      <c r="W32" s="293"/>
      <c r="X32" s="293"/>
      <c r="Y32" s="293"/>
      <c r="Z32" s="293"/>
      <c r="AA32" s="293"/>
      <c r="AB32" s="293"/>
      <c r="AC32" s="293"/>
    </row>
    <row r="33" spans="1:29" x14ac:dyDescent="0.25">
      <c r="A33" s="296" t="s">
        <v>258</v>
      </c>
      <c r="B33" s="308"/>
      <c r="C33" s="302"/>
      <c r="D33" s="301"/>
      <c r="E33" s="301"/>
      <c r="F33" s="312"/>
      <c r="G33" s="308"/>
      <c r="H33" s="302"/>
      <c r="I33" s="301"/>
      <c r="J33" s="301"/>
      <c r="K33" s="312"/>
      <c r="L33" s="308"/>
      <c r="M33" s="302"/>
      <c r="N33" s="301"/>
      <c r="O33" s="301"/>
      <c r="P33" s="301"/>
      <c r="Q33" s="293"/>
      <c r="R33" s="293"/>
      <c r="S33" s="293"/>
      <c r="T33" s="293"/>
      <c r="U33" s="293"/>
      <c r="V33" s="293"/>
      <c r="W33" s="293"/>
      <c r="X33" s="293"/>
      <c r="Y33" s="293"/>
      <c r="Z33" s="293"/>
      <c r="AA33" s="293"/>
      <c r="AB33" s="293"/>
      <c r="AC33" s="293"/>
    </row>
    <row r="34" spans="1:29" ht="15.75" thickBot="1" x14ac:dyDescent="0.3">
      <c r="A34" s="297" t="s">
        <v>259</v>
      </c>
      <c r="B34" s="309"/>
      <c r="C34" s="298"/>
      <c r="D34" s="244"/>
      <c r="E34" s="244"/>
      <c r="F34" s="313"/>
      <c r="G34" s="309"/>
      <c r="H34" s="298"/>
      <c r="I34" s="244"/>
      <c r="J34" s="244"/>
      <c r="K34" s="313"/>
      <c r="L34" s="309"/>
      <c r="M34" s="298"/>
      <c r="N34" s="244"/>
      <c r="O34" s="244"/>
      <c r="P34" s="244"/>
      <c r="Q34" s="292"/>
      <c r="R34" s="292"/>
      <c r="S34" s="292"/>
      <c r="T34" s="292"/>
      <c r="U34" s="292"/>
      <c r="V34" s="292"/>
      <c r="W34" s="292"/>
      <c r="X34" s="292"/>
      <c r="Y34" s="292"/>
      <c r="Z34" s="292"/>
      <c r="AA34" s="292"/>
      <c r="AB34" s="292"/>
      <c r="AC34" s="292"/>
    </row>
    <row r="37" spans="1:29" ht="15.75" thickBot="1" x14ac:dyDescent="0.3"/>
    <row r="38" spans="1:29" ht="60.75" thickBot="1" x14ac:dyDescent="0.3">
      <c r="A38" s="285" t="s">
        <v>260</v>
      </c>
      <c r="B38" s="305" t="s">
        <v>373</v>
      </c>
      <c r="C38" s="303" t="s">
        <v>379</v>
      </c>
      <c r="D38" s="286" t="s">
        <v>383</v>
      </c>
      <c r="E38" s="286" t="s">
        <v>381</v>
      </c>
      <c r="F38" s="310"/>
      <c r="G38" s="305" t="s">
        <v>374</v>
      </c>
      <c r="H38" s="303" t="s">
        <v>379</v>
      </c>
      <c r="I38" s="286" t="s">
        <v>380</v>
      </c>
      <c r="J38" s="286" t="s">
        <v>381</v>
      </c>
      <c r="K38" s="310"/>
      <c r="L38" s="305" t="s">
        <v>366</v>
      </c>
      <c r="M38" s="303" t="s">
        <v>379</v>
      </c>
      <c r="N38" s="286" t="s">
        <v>380</v>
      </c>
      <c r="O38" s="286" t="s">
        <v>381</v>
      </c>
      <c r="P38" s="286"/>
    </row>
    <row r="39" spans="1:29" x14ac:dyDescent="0.25">
      <c r="A39" s="290" t="s">
        <v>170</v>
      </c>
      <c r="B39" s="306"/>
      <c r="C39" s="304"/>
      <c r="D39" s="300"/>
      <c r="E39" s="300"/>
      <c r="F39" s="311"/>
      <c r="G39" s="314"/>
      <c r="H39" s="304"/>
      <c r="I39" s="300"/>
      <c r="J39" s="300"/>
      <c r="K39" s="311"/>
      <c r="L39" s="314"/>
      <c r="M39" s="304"/>
      <c r="N39" s="300"/>
      <c r="O39" s="300"/>
      <c r="P39" s="300"/>
    </row>
    <row r="40" spans="1:29" x14ac:dyDescent="0.25">
      <c r="A40" s="294" t="s">
        <v>229</v>
      </c>
      <c r="B40" s="307" t="s">
        <v>384</v>
      </c>
      <c r="C40" s="302"/>
      <c r="D40" s="301"/>
      <c r="E40" s="301"/>
      <c r="F40" s="312"/>
      <c r="G40" s="308"/>
      <c r="H40" s="302"/>
      <c r="I40" s="301"/>
      <c r="J40" s="301"/>
      <c r="K40" s="312"/>
      <c r="L40" s="308"/>
      <c r="M40" s="302"/>
      <c r="N40" s="301"/>
      <c r="O40" s="301"/>
      <c r="P40" s="301"/>
    </row>
    <row r="41" spans="1:29" x14ac:dyDescent="0.25">
      <c r="A41" s="296" t="s">
        <v>230</v>
      </c>
      <c r="B41" s="308">
        <f>SUM(C41:E41)</f>
        <v>2</v>
      </c>
      <c r="C41" s="302"/>
      <c r="D41" s="301">
        <v>2</v>
      </c>
      <c r="E41" s="301"/>
      <c r="F41" s="312"/>
      <c r="G41" s="308">
        <f>SUM(H41:J41)</f>
        <v>2</v>
      </c>
      <c r="H41" s="302"/>
      <c r="I41" s="301">
        <v>2</v>
      </c>
      <c r="J41" s="301"/>
      <c r="K41" s="312"/>
      <c r="L41" s="308">
        <f>SUM(M41:O41)</f>
        <v>8</v>
      </c>
      <c r="M41" s="302"/>
      <c r="N41" s="301">
        <v>8</v>
      </c>
      <c r="O41" s="301"/>
      <c r="P41" s="301"/>
    </row>
    <row r="42" spans="1:29" x14ac:dyDescent="0.25">
      <c r="A42" s="296" t="s">
        <v>231</v>
      </c>
      <c r="B42" s="308"/>
      <c r="C42" s="302"/>
      <c r="D42" s="301"/>
      <c r="E42" s="301"/>
      <c r="F42" s="312"/>
      <c r="G42" s="308"/>
      <c r="H42" s="302"/>
      <c r="I42" s="301"/>
      <c r="J42" s="301"/>
      <c r="K42" s="312"/>
      <c r="L42" s="308"/>
      <c r="M42" s="302"/>
      <c r="N42" s="301"/>
      <c r="O42" s="301"/>
      <c r="P42" s="301"/>
    </row>
    <row r="43" spans="1:29" x14ac:dyDescent="0.25">
      <c r="A43" s="296" t="s">
        <v>232</v>
      </c>
      <c r="B43" s="308"/>
      <c r="C43" s="302"/>
      <c r="D43" s="301"/>
      <c r="E43" s="301"/>
      <c r="F43" s="312"/>
      <c r="G43" s="308"/>
      <c r="H43" s="302"/>
      <c r="I43" s="301"/>
      <c r="J43" s="301"/>
      <c r="K43" s="312"/>
      <c r="L43" s="308"/>
      <c r="M43" s="302"/>
      <c r="N43" s="301"/>
      <c r="O43" s="301"/>
      <c r="P43" s="301"/>
    </row>
    <row r="44" spans="1:29" x14ac:dyDescent="0.25">
      <c r="A44" s="296" t="s">
        <v>233</v>
      </c>
      <c r="B44" s="308"/>
      <c r="C44" s="302"/>
      <c r="D44" s="301"/>
      <c r="E44" s="301"/>
      <c r="F44" s="312"/>
      <c r="G44" s="308"/>
      <c r="H44" s="302"/>
      <c r="I44" s="301"/>
      <c r="J44" s="301"/>
      <c r="K44" s="312"/>
      <c r="L44" s="308"/>
      <c r="M44" s="302"/>
      <c r="N44" s="301"/>
      <c r="O44" s="301"/>
      <c r="P44" s="301"/>
    </row>
    <row r="45" spans="1:29" x14ac:dyDescent="0.25">
      <c r="A45" s="296" t="s">
        <v>234</v>
      </c>
      <c r="B45" s="308"/>
      <c r="C45" s="302"/>
      <c r="D45" s="301"/>
      <c r="E45" s="301"/>
      <c r="F45" s="312"/>
      <c r="G45" s="308"/>
      <c r="H45" s="302"/>
      <c r="I45" s="301"/>
      <c r="J45" s="301"/>
      <c r="K45" s="312"/>
      <c r="L45" s="308"/>
      <c r="M45" s="302"/>
      <c r="N45" s="301"/>
      <c r="O45" s="301"/>
      <c r="P45" s="301"/>
    </row>
    <row r="46" spans="1:29" x14ac:dyDescent="0.25">
      <c r="A46" s="296" t="s">
        <v>235</v>
      </c>
      <c r="B46" s="308"/>
      <c r="C46" s="302"/>
      <c r="D46" s="301"/>
      <c r="E46" s="301"/>
      <c r="F46" s="312"/>
      <c r="G46" s="308"/>
      <c r="H46" s="302"/>
      <c r="I46" s="301"/>
      <c r="J46" s="301"/>
      <c r="K46" s="312"/>
      <c r="L46" s="308"/>
      <c r="M46" s="302"/>
      <c r="N46" s="301"/>
      <c r="O46" s="301"/>
      <c r="P46" s="301"/>
    </row>
    <row r="47" spans="1:29" x14ac:dyDescent="0.25">
      <c r="A47" s="296" t="s">
        <v>236</v>
      </c>
      <c r="B47" s="308"/>
      <c r="C47" s="302"/>
      <c r="D47" s="301"/>
      <c r="E47" s="301"/>
      <c r="F47" s="312"/>
      <c r="G47" s="308"/>
      <c r="H47" s="302"/>
      <c r="I47" s="301"/>
      <c r="J47" s="301"/>
      <c r="K47" s="312"/>
      <c r="L47" s="308"/>
      <c r="M47" s="302"/>
      <c r="N47" s="301"/>
      <c r="O47" s="301"/>
      <c r="P47" s="301"/>
    </row>
    <row r="48" spans="1:29" x14ac:dyDescent="0.25">
      <c r="A48" s="296" t="s">
        <v>237</v>
      </c>
      <c r="B48" s="308"/>
      <c r="C48" s="302"/>
      <c r="D48" s="301"/>
      <c r="E48" s="301"/>
      <c r="F48" s="312"/>
      <c r="G48" s="308"/>
      <c r="H48" s="302"/>
      <c r="I48" s="301"/>
      <c r="J48" s="301"/>
      <c r="K48" s="312"/>
      <c r="L48" s="308"/>
      <c r="M48" s="302"/>
      <c r="N48" s="301"/>
      <c r="O48" s="301"/>
      <c r="P48" s="301"/>
    </row>
    <row r="49" spans="1:16" x14ac:dyDescent="0.25">
      <c r="A49" s="296" t="s">
        <v>238</v>
      </c>
      <c r="B49" s="308"/>
      <c r="C49" s="302"/>
      <c r="D49" s="301"/>
      <c r="E49" s="301"/>
      <c r="F49" s="312"/>
      <c r="G49" s="308"/>
      <c r="H49" s="302"/>
      <c r="I49" s="301"/>
      <c r="J49" s="301"/>
      <c r="K49" s="312"/>
      <c r="L49" s="308"/>
      <c r="M49" s="302"/>
      <c r="N49" s="301"/>
      <c r="O49" s="301"/>
      <c r="P49" s="301"/>
    </row>
    <row r="50" spans="1:16" x14ac:dyDescent="0.25">
      <c r="A50" s="296" t="s">
        <v>239</v>
      </c>
      <c r="B50" s="308"/>
      <c r="C50" s="302"/>
      <c r="D50" s="301"/>
      <c r="E50" s="301"/>
      <c r="F50" s="312"/>
      <c r="G50" s="308"/>
      <c r="H50" s="302"/>
      <c r="I50" s="301"/>
      <c r="J50" s="301"/>
      <c r="K50" s="312"/>
      <c r="L50" s="308"/>
      <c r="M50" s="302"/>
      <c r="N50" s="301"/>
      <c r="O50" s="301"/>
      <c r="P50" s="301"/>
    </row>
    <row r="51" spans="1:16" x14ac:dyDescent="0.25">
      <c r="A51" s="296" t="s">
        <v>240</v>
      </c>
      <c r="B51" s="308"/>
      <c r="C51" s="302"/>
      <c r="D51" s="301"/>
      <c r="E51" s="301"/>
      <c r="F51" s="312"/>
      <c r="G51" s="308"/>
      <c r="H51" s="302"/>
      <c r="I51" s="301"/>
      <c r="J51" s="301"/>
      <c r="K51" s="312"/>
      <c r="L51" s="308"/>
      <c r="M51" s="302"/>
      <c r="N51" s="301"/>
      <c r="O51" s="301"/>
      <c r="P51" s="301"/>
    </row>
    <row r="52" spans="1:16" x14ac:dyDescent="0.25">
      <c r="A52" s="296" t="s">
        <v>241</v>
      </c>
      <c r="B52" s="308"/>
      <c r="C52" s="302"/>
      <c r="D52" s="301"/>
      <c r="E52" s="301"/>
      <c r="F52" s="312"/>
      <c r="G52" s="308"/>
      <c r="H52" s="302"/>
      <c r="I52" s="301"/>
      <c r="J52" s="301"/>
      <c r="K52" s="312"/>
      <c r="L52" s="308"/>
      <c r="M52" s="302"/>
      <c r="N52" s="301"/>
      <c r="O52" s="301"/>
      <c r="P52" s="301"/>
    </row>
    <row r="53" spans="1:16" x14ac:dyDescent="0.25">
      <c r="A53" s="296" t="s">
        <v>242</v>
      </c>
      <c r="B53" s="308"/>
      <c r="C53" s="302"/>
      <c r="D53" s="301"/>
      <c r="E53" s="301"/>
      <c r="F53" s="312"/>
      <c r="G53" s="308"/>
      <c r="H53" s="302"/>
      <c r="I53" s="301"/>
      <c r="J53" s="301"/>
      <c r="K53" s="312"/>
      <c r="L53" s="308"/>
      <c r="M53" s="302"/>
      <c r="N53" s="301"/>
      <c r="O53" s="301"/>
      <c r="P53" s="301"/>
    </row>
    <row r="54" spans="1:16" x14ac:dyDescent="0.25">
      <c r="A54" s="296" t="s">
        <v>243</v>
      </c>
      <c r="B54" s="308"/>
      <c r="C54" s="302"/>
      <c r="D54" s="301"/>
      <c r="E54" s="301"/>
      <c r="F54" s="312"/>
      <c r="G54" s="308"/>
      <c r="H54" s="302"/>
      <c r="I54" s="301"/>
      <c r="J54" s="301"/>
      <c r="K54" s="312"/>
      <c r="L54" s="308"/>
      <c r="M54" s="302"/>
      <c r="N54" s="301"/>
      <c r="O54" s="301"/>
      <c r="P54" s="301"/>
    </row>
    <row r="55" spans="1:16" x14ac:dyDescent="0.25">
      <c r="A55" s="296" t="s">
        <v>244</v>
      </c>
      <c r="B55" s="308"/>
      <c r="C55" s="302"/>
      <c r="D55" s="301"/>
      <c r="E55" s="301"/>
      <c r="F55" s="312"/>
      <c r="G55" s="308"/>
      <c r="H55" s="302"/>
      <c r="I55" s="301"/>
      <c r="J55" s="301"/>
      <c r="K55" s="312"/>
      <c r="L55" s="308"/>
      <c r="M55" s="302"/>
      <c r="N55" s="301"/>
      <c r="O55" s="301"/>
      <c r="P55" s="301"/>
    </row>
    <row r="56" spans="1:16" x14ac:dyDescent="0.25">
      <c r="A56" s="296" t="s">
        <v>245</v>
      </c>
      <c r="B56" s="308"/>
      <c r="C56" s="302"/>
      <c r="D56" s="301"/>
      <c r="E56" s="301"/>
      <c r="F56" s="312"/>
      <c r="G56" s="308"/>
      <c r="H56" s="302"/>
      <c r="I56" s="301"/>
      <c r="J56" s="301"/>
      <c r="K56" s="312"/>
      <c r="L56" s="308"/>
      <c r="M56" s="302"/>
      <c r="N56" s="301"/>
      <c r="O56" s="301"/>
      <c r="P56" s="301"/>
    </row>
    <row r="57" spans="1:16" x14ac:dyDescent="0.25">
      <c r="A57" s="296" t="s">
        <v>246</v>
      </c>
      <c r="B57" s="308"/>
      <c r="C57" s="302"/>
      <c r="D57" s="301"/>
      <c r="E57" s="301"/>
      <c r="F57" s="312"/>
      <c r="G57" s="308"/>
      <c r="H57" s="302"/>
      <c r="I57" s="301"/>
      <c r="J57" s="301"/>
      <c r="K57" s="312"/>
      <c r="L57" s="308"/>
      <c r="M57" s="302"/>
      <c r="N57" s="301"/>
      <c r="O57" s="301"/>
      <c r="P57" s="301"/>
    </row>
    <row r="58" spans="1:16" x14ac:dyDescent="0.25">
      <c r="A58" s="296" t="s">
        <v>247</v>
      </c>
      <c r="B58" s="308"/>
      <c r="C58" s="302"/>
      <c r="D58" s="301"/>
      <c r="E58" s="301"/>
      <c r="F58" s="312"/>
      <c r="G58" s="308"/>
      <c r="H58" s="302"/>
      <c r="I58" s="301"/>
      <c r="J58" s="301"/>
      <c r="K58" s="312"/>
      <c r="L58" s="308"/>
      <c r="M58" s="302"/>
      <c r="N58" s="301"/>
      <c r="O58" s="301"/>
      <c r="P58" s="301"/>
    </row>
    <row r="59" spans="1:16" x14ac:dyDescent="0.25">
      <c r="A59" s="296" t="s">
        <v>248</v>
      </c>
      <c r="B59" s="308"/>
      <c r="C59" s="302"/>
      <c r="D59" s="301"/>
      <c r="E59" s="301"/>
      <c r="F59" s="312"/>
      <c r="G59" s="308"/>
      <c r="H59" s="302"/>
      <c r="I59" s="301"/>
      <c r="J59" s="301"/>
      <c r="K59" s="312"/>
      <c r="L59" s="308"/>
      <c r="M59" s="302"/>
      <c r="N59" s="301"/>
      <c r="O59" s="301"/>
      <c r="P59" s="301"/>
    </row>
    <row r="60" spans="1:16" x14ac:dyDescent="0.25">
      <c r="A60" s="296" t="s">
        <v>249</v>
      </c>
      <c r="B60" s="308"/>
      <c r="C60" s="302"/>
      <c r="D60" s="301"/>
      <c r="E60" s="301"/>
      <c r="F60" s="312"/>
      <c r="G60" s="308"/>
      <c r="H60" s="302"/>
      <c r="I60" s="301"/>
      <c r="J60" s="301"/>
      <c r="K60" s="312"/>
      <c r="L60" s="308"/>
      <c r="M60" s="302"/>
      <c r="N60" s="301"/>
      <c r="O60" s="301"/>
      <c r="P60" s="301"/>
    </row>
    <row r="61" spans="1:16" x14ac:dyDescent="0.25">
      <c r="A61" s="296" t="s">
        <v>250</v>
      </c>
      <c r="B61" s="308"/>
      <c r="C61" s="302"/>
      <c r="D61" s="301"/>
      <c r="E61" s="301"/>
      <c r="F61" s="312"/>
      <c r="G61" s="308"/>
      <c r="H61" s="302"/>
      <c r="I61" s="301"/>
      <c r="J61" s="301"/>
      <c r="K61" s="312"/>
      <c r="L61" s="308"/>
      <c r="M61" s="302"/>
      <c r="N61" s="301"/>
      <c r="O61" s="301"/>
      <c r="P61" s="301"/>
    </row>
    <row r="62" spans="1:16" x14ac:dyDescent="0.25">
      <c r="A62" s="296" t="s">
        <v>251</v>
      </c>
      <c r="B62" s="308"/>
      <c r="C62" s="302"/>
      <c r="D62" s="301"/>
      <c r="E62" s="301"/>
      <c r="F62" s="312"/>
      <c r="G62" s="308"/>
      <c r="H62" s="302"/>
      <c r="I62" s="301"/>
      <c r="J62" s="301"/>
      <c r="K62" s="312"/>
      <c r="L62" s="308"/>
      <c r="M62" s="302"/>
      <c r="N62" s="301"/>
      <c r="O62" s="301"/>
      <c r="P62" s="301"/>
    </row>
    <row r="63" spans="1:16" x14ac:dyDescent="0.25">
      <c r="A63" s="296" t="s">
        <v>252</v>
      </c>
      <c r="B63" s="308"/>
      <c r="C63" s="302"/>
      <c r="D63" s="301"/>
      <c r="E63" s="301"/>
      <c r="F63" s="312"/>
      <c r="G63" s="308"/>
      <c r="H63" s="302"/>
      <c r="I63" s="301"/>
      <c r="J63" s="301"/>
      <c r="K63" s="312"/>
      <c r="L63" s="308"/>
      <c r="M63" s="302"/>
      <c r="N63" s="301"/>
      <c r="O63" s="301"/>
      <c r="P63" s="301"/>
    </row>
    <row r="64" spans="1:16" x14ac:dyDescent="0.25">
      <c r="A64" s="296" t="s">
        <v>253</v>
      </c>
      <c r="B64" s="308"/>
      <c r="C64" s="302"/>
      <c r="D64" s="301"/>
      <c r="E64" s="301"/>
      <c r="F64" s="312"/>
      <c r="G64" s="308"/>
      <c r="H64" s="302"/>
      <c r="I64" s="301"/>
      <c r="J64" s="301"/>
      <c r="K64" s="312"/>
      <c r="L64" s="308"/>
      <c r="M64" s="302"/>
      <c r="N64" s="301"/>
      <c r="O64" s="301"/>
      <c r="P64" s="301"/>
    </row>
    <row r="65" spans="1:16" x14ac:dyDescent="0.25">
      <c r="A65" s="296" t="s">
        <v>254</v>
      </c>
      <c r="B65" s="308"/>
      <c r="C65" s="302"/>
      <c r="D65" s="301"/>
      <c r="E65" s="301"/>
      <c r="F65" s="312"/>
      <c r="G65" s="308"/>
      <c r="H65" s="302"/>
      <c r="I65" s="301"/>
      <c r="J65" s="301"/>
      <c r="K65" s="312"/>
      <c r="L65" s="308"/>
      <c r="M65" s="302"/>
      <c r="N65" s="301"/>
      <c r="O65" s="301"/>
      <c r="P65" s="301"/>
    </row>
    <row r="66" spans="1:16" x14ac:dyDescent="0.25">
      <c r="A66" s="296" t="s">
        <v>255</v>
      </c>
      <c r="B66" s="308"/>
      <c r="C66" s="302"/>
      <c r="D66" s="301"/>
      <c r="E66" s="301"/>
      <c r="F66" s="312"/>
      <c r="G66" s="308"/>
      <c r="H66" s="302"/>
      <c r="I66" s="301"/>
      <c r="J66" s="301"/>
      <c r="K66" s="312"/>
      <c r="L66" s="308"/>
      <c r="M66" s="302"/>
      <c r="N66" s="301"/>
      <c r="O66" s="301"/>
      <c r="P66" s="301"/>
    </row>
    <row r="67" spans="1:16" x14ac:dyDescent="0.25">
      <c r="A67" s="296" t="s">
        <v>256</v>
      </c>
      <c r="B67" s="308"/>
      <c r="C67" s="302"/>
      <c r="D67" s="301"/>
      <c r="E67" s="301"/>
      <c r="F67" s="312"/>
      <c r="G67" s="308"/>
      <c r="H67" s="302"/>
      <c r="I67" s="301"/>
      <c r="J67" s="301"/>
      <c r="K67" s="312"/>
      <c r="L67" s="308"/>
      <c r="M67" s="302"/>
      <c r="N67" s="301"/>
      <c r="O67" s="301"/>
      <c r="P67" s="301"/>
    </row>
    <row r="68" spans="1:16" x14ac:dyDescent="0.25">
      <c r="A68" s="296" t="s">
        <v>257</v>
      </c>
      <c r="B68" s="308"/>
      <c r="C68" s="302"/>
      <c r="D68" s="301"/>
      <c r="E68" s="301"/>
      <c r="F68" s="312"/>
      <c r="G68" s="308"/>
      <c r="H68" s="302"/>
      <c r="I68" s="301"/>
      <c r="J68" s="301"/>
      <c r="K68" s="312"/>
      <c r="L68" s="308"/>
      <c r="M68" s="302"/>
      <c r="N68" s="301"/>
      <c r="O68" s="301"/>
      <c r="P68" s="301"/>
    </row>
    <row r="69" spans="1:16" x14ac:dyDescent="0.25">
      <c r="A69" s="296" t="s">
        <v>258</v>
      </c>
      <c r="B69" s="308"/>
      <c r="C69" s="302"/>
      <c r="D69" s="301"/>
      <c r="E69" s="301"/>
      <c r="F69" s="312"/>
      <c r="G69" s="308"/>
      <c r="H69" s="302"/>
      <c r="I69" s="301"/>
      <c r="J69" s="301"/>
      <c r="K69" s="312"/>
      <c r="L69" s="308"/>
      <c r="M69" s="302"/>
      <c r="N69" s="301"/>
      <c r="O69" s="301"/>
      <c r="P69" s="301"/>
    </row>
    <row r="70" spans="1:16" ht="15.75" thickBot="1" x14ac:dyDescent="0.3">
      <c r="A70" s="297" t="s">
        <v>259</v>
      </c>
      <c r="B70" s="309"/>
      <c r="C70" s="298"/>
      <c r="D70" s="244"/>
      <c r="E70" s="244"/>
      <c r="F70" s="313"/>
      <c r="G70" s="309"/>
      <c r="H70" s="298"/>
      <c r="I70" s="244"/>
      <c r="J70" s="244"/>
      <c r="K70" s="313"/>
      <c r="L70" s="309"/>
      <c r="M70" s="298"/>
      <c r="N70" s="244"/>
      <c r="O70" s="244"/>
      <c r="P70" s="244"/>
    </row>
  </sheetData>
  <phoneticPr fontId="74" type="noConversion"/>
  <pageMargins left="0.7" right="0.7" top="0.75" bottom="0.75" header="0.3" footer="0.3"/>
  <pageSetup paperSize="9" scale="6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I103"/>
  <sheetViews>
    <sheetView view="pageBreakPreview" topLeftCell="A93" zoomScale="107" zoomScaleNormal="80" zoomScaleSheetLayoutView="215" workbookViewId="0">
      <selection activeCell="F7" sqref="F7"/>
    </sheetView>
  </sheetViews>
  <sheetFormatPr defaultColWidth="8.85546875" defaultRowHeight="15" x14ac:dyDescent="0.25"/>
  <cols>
    <col min="1" max="1" width="26" customWidth="1"/>
    <col min="2" max="2" width="11.42578125" customWidth="1"/>
    <col min="4" max="4" width="20.85546875" customWidth="1"/>
    <col min="6" max="8" width="12.42578125" bestFit="1" customWidth="1"/>
    <col min="9" max="9" width="13.140625" bestFit="1" customWidth="1"/>
  </cols>
  <sheetData>
    <row r="1" spans="1:9" ht="15.75" thickBot="1" x14ac:dyDescent="0.3"/>
    <row r="2" spans="1:9" x14ac:dyDescent="0.25">
      <c r="A2" s="750" t="str">
        <f>'Parametre - Agendové IS'!G1</f>
        <v>Priame platby</v>
      </c>
      <c r="B2" s="751"/>
      <c r="C2" s="752"/>
      <c r="D2" s="748" t="s">
        <v>105</v>
      </c>
      <c r="E2" s="749"/>
      <c r="F2" s="343" t="s">
        <v>165</v>
      </c>
      <c r="G2" s="343" t="s">
        <v>166</v>
      </c>
      <c r="H2" s="343" t="s">
        <v>167</v>
      </c>
      <c r="I2" s="343" t="s">
        <v>169</v>
      </c>
    </row>
    <row r="3" spans="1:9" ht="15.75" thickBot="1" x14ac:dyDescent="0.3">
      <c r="A3" s="753"/>
      <c r="B3" s="754"/>
      <c r="C3" s="755"/>
      <c r="D3" s="523" t="s">
        <v>354</v>
      </c>
      <c r="E3" s="524" t="s">
        <v>168</v>
      </c>
      <c r="F3" s="177" t="s">
        <v>168</v>
      </c>
      <c r="G3" s="177" t="s">
        <v>168</v>
      </c>
      <c r="H3" s="177" t="s">
        <v>168</v>
      </c>
      <c r="I3" s="177" t="s">
        <v>168</v>
      </c>
    </row>
    <row r="4" spans="1:9" ht="15" customHeight="1" thickBot="1" x14ac:dyDescent="0.3">
      <c r="A4" s="758" t="s">
        <v>43</v>
      </c>
      <c r="B4" s="756" t="s">
        <v>186</v>
      </c>
      <c r="C4" s="178" t="s">
        <v>25</v>
      </c>
      <c r="D4" s="525" t="str">
        <f>IF(E4='Parametre - Agendové IS'!H87,"OK","Chyba počtu FTE")</f>
        <v>OK</v>
      </c>
      <c r="E4" s="597">
        <f t="shared" ref="E4:E33" si="0">F4+G4+H4+I4</f>
        <v>68.340740740740742</v>
      </c>
      <c r="F4" s="596">
        <v>68.340740740740742</v>
      </c>
      <c r="G4" s="243"/>
      <c r="H4" s="243"/>
      <c r="I4" s="243"/>
    </row>
    <row r="5" spans="1:9" ht="15.75" thickBot="1" x14ac:dyDescent="0.3">
      <c r="A5" s="759"/>
      <c r="B5" s="757"/>
      <c r="C5" s="175" t="s">
        <v>26</v>
      </c>
      <c r="D5" s="527" t="str">
        <f>IF(E5='Parametre - Agendové IS'!H88,"OK","Chyba počtu FTE")</f>
        <v>OK</v>
      </c>
      <c r="E5" s="598">
        <f t="shared" si="0"/>
        <v>68.340740740740742</v>
      </c>
      <c r="F5" s="596">
        <v>68.340740740740742</v>
      </c>
      <c r="G5" s="244"/>
      <c r="H5" s="244"/>
      <c r="I5" s="244"/>
    </row>
    <row r="6" spans="1:9" ht="15.75" thickBot="1" x14ac:dyDescent="0.3">
      <c r="A6" s="759"/>
      <c r="B6" s="757"/>
      <c r="C6" s="175" t="s">
        <v>27</v>
      </c>
      <c r="D6" s="527" t="str">
        <f>IF(E6='Parametre - Agendové IS'!H89,"OK","Chyba počtu FTE")</f>
        <v>OK</v>
      </c>
      <c r="E6" s="598">
        <f t="shared" si="0"/>
        <v>68.340740740740742</v>
      </c>
      <c r="F6" s="596">
        <v>68.340740740740742</v>
      </c>
      <c r="G6" s="244"/>
      <c r="H6" s="244"/>
      <c r="I6" s="244"/>
    </row>
    <row r="7" spans="1:9" ht="15.75" thickBot="1" x14ac:dyDescent="0.3">
      <c r="A7" s="759"/>
      <c r="B7" s="757"/>
      <c r="C7" s="175" t="s">
        <v>28</v>
      </c>
      <c r="D7" s="527" t="str">
        <f>IF(E7='Parametre - Agendové IS'!H90,"OK","Chyba počtu FTE")</f>
        <v>Chyba počtu FTE</v>
      </c>
      <c r="E7" s="598">
        <f t="shared" si="0"/>
        <v>68.340740740740742</v>
      </c>
      <c r="F7" s="596">
        <v>68.340740740740742</v>
      </c>
      <c r="G7" s="244"/>
      <c r="H7" s="244"/>
      <c r="I7" s="244"/>
    </row>
    <row r="8" spans="1:9" ht="15.75" thickBot="1" x14ac:dyDescent="0.3">
      <c r="A8" s="759"/>
      <c r="B8" s="757"/>
      <c r="C8" s="175" t="s">
        <v>29</v>
      </c>
      <c r="D8" s="527" t="str">
        <f>IF(E8='Parametre - Agendové IS'!H91,"OK","Chyba počtu FTE")</f>
        <v>Chyba počtu FTE</v>
      </c>
      <c r="E8" s="598">
        <f t="shared" si="0"/>
        <v>68.340740740740742</v>
      </c>
      <c r="F8" s="596">
        <v>68.340740740740742</v>
      </c>
      <c r="G8" s="244"/>
      <c r="H8" s="244"/>
      <c r="I8" s="244"/>
    </row>
    <row r="9" spans="1:9" ht="15.75" thickBot="1" x14ac:dyDescent="0.3">
      <c r="A9" s="759"/>
      <c r="B9" s="757"/>
      <c r="C9" s="175" t="s">
        <v>30</v>
      </c>
      <c r="D9" s="527" t="str">
        <f>IF(E9='Parametre - Agendové IS'!H92,"OK","Chyba počtu FTE")</f>
        <v>Chyba počtu FTE</v>
      </c>
      <c r="E9" s="598">
        <f t="shared" si="0"/>
        <v>68.340740740740742</v>
      </c>
      <c r="F9" s="596">
        <v>68.340740740740742</v>
      </c>
      <c r="G9" s="244"/>
      <c r="H9" s="244"/>
      <c r="I9" s="244"/>
    </row>
    <row r="10" spans="1:9" ht="15.75" thickBot="1" x14ac:dyDescent="0.3">
      <c r="A10" s="759"/>
      <c r="B10" s="757"/>
      <c r="C10" s="175" t="s">
        <v>31</v>
      </c>
      <c r="D10" s="527" t="str">
        <f>IF(E10='Parametre - Agendové IS'!H93,"OK","Chyba počtu FTE")</f>
        <v>Chyba počtu FTE</v>
      </c>
      <c r="E10" s="598">
        <f t="shared" si="0"/>
        <v>68.340740740740742</v>
      </c>
      <c r="F10" s="596">
        <v>68.340740740740742</v>
      </c>
      <c r="G10" s="244"/>
      <c r="H10" s="244"/>
      <c r="I10" s="244"/>
    </row>
    <row r="11" spans="1:9" ht="15.75" thickBot="1" x14ac:dyDescent="0.3">
      <c r="A11" s="759"/>
      <c r="B11" s="757"/>
      <c r="C11" s="175" t="s">
        <v>32</v>
      </c>
      <c r="D11" s="527" t="str">
        <f>IF(E11='Parametre - Agendové IS'!H94,"OK","Chyba počtu FTE")</f>
        <v>Chyba počtu FTE</v>
      </c>
      <c r="E11" s="598">
        <f t="shared" si="0"/>
        <v>68.340740740740742</v>
      </c>
      <c r="F11" s="596">
        <v>68.340740740740742</v>
      </c>
      <c r="G11" s="244"/>
      <c r="H11" s="244"/>
      <c r="I11" s="244"/>
    </row>
    <row r="12" spans="1:9" ht="15.75" thickBot="1" x14ac:dyDescent="0.3">
      <c r="A12" s="759"/>
      <c r="B12" s="757"/>
      <c r="C12" s="175" t="s">
        <v>33</v>
      </c>
      <c r="D12" s="527" t="str">
        <f>IF(E12='Parametre - Agendové IS'!H95,"OK","Chyba počtu FTE")</f>
        <v>Chyba počtu FTE</v>
      </c>
      <c r="E12" s="598">
        <f t="shared" si="0"/>
        <v>68.340740740740742</v>
      </c>
      <c r="F12" s="596">
        <v>68.340740740740742</v>
      </c>
      <c r="G12" s="244"/>
      <c r="H12" s="244"/>
      <c r="I12" s="244"/>
    </row>
    <row r="13" spans="1:9" ht="15.75" thickBot="1" x14ac:dyDescent="0.3">
      <c r="A13" s="759"/>
      <c r="B13" s="757"/>
      <c r="C13" s="175" t="s">
        <v>34</v>
      </c>
      <c r="D13" s="529" t="str">
        <f>IF(E13='Parametre - Agendové IS'!H96,"OK","Chyba počtu FTE")</f>
        <v>Chyba počtu FTE</v>
      </c>
      <c r="E13" s="599">
        <f t="shared" si="0"/>
        <v>68.340740740740742</v>
      </c>
      <c r="F13" s="596">
        <v>68.340740740740742</v>
      </c>
      <c r="G13" s="245"/>
      <c r="H13" s="245"/>
      <c r="I13" s="245"/>
    </row>
    <row r="14" spans="1:9" ht="15" customHeight="1" thickBot="1" x14ac:dyDescent="0.3">
      <c r="A14" s="758" t="s">
        <v>41</v>
      </c>
      <c r="B14" s="756" t="s">
        <v>37</v>
      </c>
      <c r="C14" s="178" t="s">
        <v>25</v>
      </c>
      <c r="D14" s="526" t="str">
        <f>IF(E14='Parametre - Agendové IS'!H6,"OK","Chyba počtu podaní")</f>
        <v>OK</v>
      </c>
      <c r="E14" s="530">
        <f t="shared" si="0"/>
        <v>18452</v>
      </c>
      <c r="F14" s="578">
        <v>18452</v>
      </c>
      <c r="G14" s="243"/>
      <c r="H14" s="243"/>
      <c r="I14" s="243"/>
    </row>
    <row r="15" spans="1:9" ht="15.75" thickBot="1" x14ac:dyDescent="0.3">
      <c r="A15" s="759"/>
      <c r="B15" s="757"/>
      <c r="C15" s="175" t="s">
        <v>26</v>
      </c>
      <c r="D15" s="527" t="str">
        <f>IF(E15='Parametre - Agendové IS'!H7,"OK","Chyba počtu podaní")</f>
        <v>OK</v>
      </c>
      <c r="E15" s="528">
        <f t="shared" si="0"/>
        <v>18452</v>
      </c>
      <c r="F15" s="578">
        <v>18452</v>
      </c>
      <c r="G15" s="244"/>
      <c r="H15" s="244"/>
      <c r="I15" s="244"/>
    </row>
    <row r="16" spans="1:9" ht="15.75" thickBot="1" x14ac:dyDescent="0.3">
      <c r="A16" s="759"/>
      <c r="B16" s="757"/>
      <c r="C16" s="175" t="s">
        <v>27</v>
      </c>
      <c r="D16" s="527" t="str">
        <f>IF(E16='Parametre - Agendové IS'!H8,"OK","Chyba počtu podaní")</f>
        <v>OK</v>
      </c>
      <c r="E16" s="528">
        <f t="shared" si="0"/>
        <v>18452</v>
      </c>
      <c r="F16" s="578">
        <v>18452</v>
      </c>
      <c r="G16" s="244"/>
      <c r="H16" s="244"/>
      <c r="I16" s="244"/>
    </row>
    <row r="17" spans="1:9" ht="15.75" thickBot="1" x14ac:dyDescent="0.3">
      <c r="A17" s="759"/>
      <c r="B17" s="757"/>
      <c r="C17" s="175" t="s">
        <v>28</v>
      </c>
      <c r="D17" s="527" t="str">
        <f>IF(E17='Parametre - Agendové IS'!H9,"OK","Chyba počtu podaní")</f>
        <v>Chyba počtu podaní</v>
      </c>
      <c r="E17" s="528">
        <f t="shared" si="0"/>
        <v>18452</v>
      </c>
      <c r="F17" s="578">
        <v>18452</v>
      </c>
      <c r="G17" s="244"/>
      <c r="H17" s="244"/>
      <c r="I17" s="244"/>
    </row>
    <row r="18" spans="1:9" ht="15.75" thickBot="1" x14ac:dyDescent="0.3">
      <c r="A18" s="759"/>
      <c r="B18" s="757"/>
      <c r="C18" s="175" t="s">
        <v>29</v>
      </c>
      <c r="D18" s="527" t="str">
        <f>IF(E18='Parametre - Agendové IS'!H10,"OK","Chyba počtu podaní")</f>
        <v>Chyba počtu podaní</v>
      </c>
      <c r="E18" s="528">
        <f t="shared" si="0"/>
        <v>18452</v>
      </c>
      <c r="F18" s="578">
        <v>18452</v>
      </c>
      <c r="G18" s="244"/>
      <c r="H18" s="244"/>
      <c r="I18" s="244"/>
    </row>
    <row r="19" spans="1:9" ht="15.75" thickBot="1" x14ac:dyDescent="0.3">
      <c r="A19" s="759"/>
      <c r="B19" s="757"/>
      <c r="C19" s="175" t="s">
        <v>30</v>
      </c>
      <c r="D19" s="527" t="str">
        <f>IF(E19='Parametre - Agendové IS'!H11,"OK","Chyba počtu podaní")</f>
        <v>Chyba počtu podaní</v>
      </c>
      <c r="E19" s="528">
        <f t="shared" si="0"/>
        <v>18452</v>
      </c>
      <c r="F19" s="578">
        <v>18452</v>
      </c>
      <c r="G19" s="244"/>
      <c r="H19" s="244"/>
      <c r="I19" s="244"/>
    </row>
    <row r="20" spans="1:9" ht="15.75" thickBot="1" x14ac:dyDescent="0.3">
      <c r="A20" s="759"/>
      <c r="B20" s="757"/>
      <c r="C20" s="175" t="s">
        <v>31</v>
      </c>
      <c r="D20" s="527" t="str">
        <f>IF(E20='Parametre - Agendové IS'!H12,"OK","Chyba počtu podaní")</f>
        <v>Chyba počtu podaní</v>
      </c>
      <c r="E20" s="528">
        <f t="shared" si="0"/>
        <v>18452</v>
      </c>
      <c r="F20" s="578">
        <v>18452</v>
      </c>
      <c r="G20" s="244"/>
      <c r="H20" s="244"/>
      <c r="I20" s="244"/>
    </row>
    <row r="21" spans="1:9" ht="15.75" thickBot="1" x14ac:dyDescent="0.3">
      <c r="A21" s="759"/>
      <c r="B21" s="757"/>
      <c r="C21" s="175" t="s">
        <v>32</v>
      </c>
      <c r="D21" s="527" t="str">
        <f>IF(E21='Parametre - Agendové IS'!H13,"OK","Chyba počtu podaní")</f>
        <v>Chyba počtu podaní</v>
      </c>
      <c r="E21" s="528">
        <f t="shared" si="0"/>
        <v>18452</v>
      </c>
      <c r="F21" s="578">
        <v>18452</v>
      </c>
      <c r="G21" s="244"/>
      <c r="H21" s="244"/>
      <c r="I21" s="244"/>
    </row>
    <row r="22" spans="1:9" ht="15.75" thickBot="1" x14ac:dyDescent="0.3">
      <c r="A22" s="759"/>
      <c r="B22" s="757"/>
      <c r="C22" s="175" t="s">
        <v>33</v>
      </c>
      <c r="D22" s="527" t="str">
        <f>IF(E22='Parametre - Agendové IS'!H14,"OK","Chyba počtu podaní")</f>
        <v>Chyba počtu podaní</v>
      </c>
      <c r="E22" s="528">
        <f t="shared" si="0"/>
        <v>18452</v>
      </c>
      <c r="F22" s="578">
        <v>18452</v>
      </c>
      <c r="G22" s="244"/>
      <c r="H22" s="244"/>
      <c r="I22" s="244"/>
    </row>
    <row r="23" spans="1:9" ht="15.75" thickBot="1" x14ac:dyDescent="0.3">
      <c r="A23" s="760"/>
      <c r="B23" s="761"/>
      <c r="C23" s="176" t="s">
        <v>34</v>
      </c>
      <c r="D23" s="527" t="str">
        <f>IF(E23='Parametre - Agendové IS'!H15,"OK","Chyba počtu podaní")</f>
        <v>Chyba počtu podaní</v>
      </c>
      <c r="E23" s="528">
        <f t="shared" si="0"/>
        <v>18452</v>
      </c>
      <c r="F23" s="578">
        <v>18452</v>
      </c>
      <c r="G23" s="244"/>
      <c r="H23" s="244"/>
      <c r="I23" s="244"/>
    </row>
    <row r="24" spans="1:9" x14ac:dyDescent="0.25">
      <c r="A24" s="758" t="s">
        <v>39</v>
      </c>
      <c r="B24" s="756" t="s">
        <v>13</v>
      </c>
      <c r="C24" s="178" t="s">
        <v>25</v>
      </c>
      <c r="D24" s="526" t="str">
        <f>IF(E24='Parametre - Agendové IS'!H127,"OK","Chyba")</f>
        <v>OK</v>
      </c>
      <c r="E24" s="530">
        <f t="shared" si="0"/>
        <v>0</v>
      </c>
      <c r="F24" s="243"/>
      <c r="G24" s="243"/>
      <c r="H24" s="243"/>
      <c r="I24" s="243"/>
    </row>
    <row r="25" spans="1:9" x14ac:dyDescent="0.25">
      <c r="A25" s="759"/>
      <c r="B25" s="757"/>
      <c r="C25" s="175" t="s">
        <v>26</v>
      </c>
      <c r="D25" s="527" t="str">
        <f>IF(E25='Parametre - Agendové IS'!H128,"OK","Chyba")</f>
        <v>OK</v>
      </c>
      <c r="E25" s="528">
        <f t="shared" si="0"/>
        <v>0</v>
      </c>
      <c r="F25" s="244"/>
      <c r="G25" s="244"/>
      <c r="H25" s="244"/>
      <c r="I25" s="244"/>
    </row>
    <row r="26" spans="1:9" x14ac:dyDescent="0.25">
      <c r="A26" s="759"/>
      <c r="B26" s="757"/>
      <c r="C26" s="175" t="s">
        <v>27</v>
      </c>
      <c r="D26" s="527" t="str">
        <f>IF(E26='Parametre - Agendové IS'!H129,"OK","Chyba")</f>
        <v>OK</v>
      </c>
      <c r="E26" s="528">
        <f t="shared" si="0"/>
        <v>0</v>
      </c>
      <c r="F26" s="244"/>
      <c r="G26" s="244"/>
      <c r="H26" s="244"/>
      <c r="I26" s="244"/>
    </row>
    <row r="27" spans="1:9" x14ac:dyDescent="0.25">
      <c r="A27" s="759"/>
      <c r="B27" s="757"/>
      <c r="C27" s="175" t="s">
        <v>28</v>
      </c>
      <c r="D27" s="527" t="str">
        <f>IF(E27='Parametre - Agendové IS'!H130,"OK","Chyba")</f>
        <v>OK</v>
      </c>
      <c r="E27" s="528">
        <f t="shared" si="0"/>
        <v>0</v>
      </c>
      <c r="F27" s="244"/>
      <c r="G27" s="244"/>
      <c r="H27" s="244"/>
      <c r="I27" s="244"/>
    </row>
    <row r="28" spans="1:9" x14ac:dyDescent="0.25">
      <c r="A28" s="759"/>
      <c r="B28" s="757"/>
      <c r="C28" s="175" t="s">
        <v>29</v>
      </c>
      <c r="D28" s="527" t="str">
        <f>IF(E28='Parametre - Agendové IS'!H131,"OK","Chyba")</f>
        <v>OK</v>
      </c>
      <c r="E28" s="528">
        <f t="shared" si="0"/>
        <v>0</v>
      </c>
      <c r="F28" s="244"/>
      <c r="G28" s="244"/>
      <c r="H28" s="244"/>
      <c r="I28" s="244"/>
    </row>
    <row r="29" spans="1:9" x14ac:dyDescent="0.25">
      <c r="A29" s="759"/>
      <c r="B29" s="757"/>
      <c r="C29" s="175" t="s">
        <v>30</v>
      </c>
      <c r="D29" s="527" t="str">
        <f>IF(E29='Parametre - Agendové IS'!H132,"OK","Chyba")</f>
        <v>OK</v>
      </c>
      <c r="E29" s="528">
        <f t="shared" si="0"/>
        <v>0</v>
      </c>
      <c r="F29" s="244"/>
      <c r="G29" s="244"/>
      <c r="H29" s="244"/>
      <c r="I29" s="244"/>
    </row>
    <row r="30" spans="1:9" x14ac:dyDescent="0.25">
      <c r="A30" s="759"/>
      <c r="B30" s="757"/>
      <c r="C30" s="175" t="s">
        <v>31</v>
      </c>
      <c r="D30" s="527" t="str">
        <f>IF(E30='Parametre - Agendové IS'!H133,"OK","Chyba")</f>
        <v>OK</v>
      </c>
      <c r="E30" s="528">
        <f t="shared" si="0"/>
        <v>0</v>
      </c>
      <c r="F30" s="244"/>
      <c r="G30" s="244"/>
      <c r="H30" s="244"/>
      <c r="I30" s="244"/>
    </row>
    <row r="31" spans="1:9" x14ac:dyDescent="0.25">
      <c r="A31" s="759"/>
      <c r="B31" s="757"/>
      <c r="C31" s="175" t="s">
        <v>32</v>
      </c>
      <c r="D31" s="527" t="str">
        <f>IF(E31='Parametre - Agendové IS'!H134,"OK","Chyba")</f>
        <v>OK</v>
      </c>
      <c r="E31" s="528">
        <f t="shared" si="0"/>
        <v>0</v>
      </c>
      <c r="F31" s="244"/>
      <c r="G31" s="244"/>
      <c r="H31" s="244"/>
      <c r="I31" s="244"/>
    </row>
    <row r="32" spans="1:9" x14ac:dyDescent="0.25">
      <c r="A32" s="759"/>
      <c r="B32" s="757"/>
      <c r="C32" s="175" t="s">
        <v>33</v>
      </c>
      <c r="D32" s="527" t="str">
        <f>IF(E32='Parametre - Agendové IS'!H135,"OK","Chyba")</f>
        <v>OK</v>
      </c>
      <c r="E32" s="528">
        <f t="shared" si="0"/>
        <v>0</v>
      </c>
      <c r="F32" s="244"/>
      <c r="G32" s="244"/>
      <c r="H32" s="244"/>
      <c r="I32" s="244"/>
    </row>
    <row r="33" spans="1:9" ht="15.75" thickBot="1" x14ac:dyDescent="0.3">
      <c r="A33" s="760"/>
      <c r="B33" s="761"/>
      <c r="C33" s="176" t="s">
        <v>34</v>
      </c>
      <c r="D33" s="527" t="str">
        <f>IF(E33='Parametre - Agendové IS'!H136,"OK","Chyba")</f>
        <v>OK</v>
      </c>
      <c r="E33" s="528">
        <f t="shared" si="0"/>
        <v>0</v>
      </c>
      <c r="F33" s="244"/>
      <c r="G33" s="244"/>
      <c r="H33" s="244"/>
      <c r="I33" s="244"/>
    </row>
    <row r="34" spans="1:9" x14ac:dyDescent="0.25">
      <c r="A34" s="172"/>
      <c r="B34" s="173"/>
      <c r="E34" s="174"/>
    </row>
    <row r="35" spans="1:9" x14ac:dyDescent="0.25">
      <c r="A35" s="172"/>
      <c r="B35" s="173"/>
      <c r="E35" s="174"/>
    </row>
    <row r="36" spans="1:9" ht="15.75" thickBot="1" x14ac:dyDescent="0.3">
      <c r="A36" s="172"/>
      <c r="B36" s="173"/>
      <c r="E36" s="174"/>
    </row>
    <row r="37" spans="1:9" x14ac:dyDescent="0.25">
      <c r="A37" s="750" t="str">
        <f>'Parametre - Agendové IS'!J1</f>
        <v>Neprojektove opatrenia podpory</v>
      </c>
      <c r="B37" s="751"/>
      <c r="C37" s="752"/>
      <c r="D37" s="748" t="s">
        <v>105</v>
      </c>
      <c r="E37" s="749"/>
      <c r="F37" s="343" t="s">
        <v>165</v>
      </c>
      <c r="G37" s="343" t="s">
        <v>166</v>
      </c>
      <c r="H37" s="343" t="s">
        <v>167</v>
      </c>
      <c r="I37" s="343" t="s">
        <v>169</v>
      </c>
    </row>
    <row r="38" spans="1:9" ht="15.75" thickBot="1" x14ac:dyDescent="0.3">
      <c r="A38" s="753"/>
      <c r="B38" s="754"/>
      <c r="C38" s="755"/>
      <c r="D38" s="523" t="s">
        <v>354</v>
      </c>
      <c r="E38" s="524" t="s">
        <v>168</v>
      </c>
      <c r="F38" s="177" t="s">
        <v>168</v>
      </c>
      <c r="G38" s="177" t="s">
        <v>168</v>
      </c>
      <c r="H38" s="177" t="s">
        <v>168</v>
      </c>
      <c r="I38" s="177" t="s">
        <v>168</v>
      </c>
    </row>
    <row r="39" spans="1:9" ht="15.75" thickBot="1" x14ac:dyDescent="0.3">
      <c r="A39" s="758" t="s">
        <v>43</v>
      </c>
      <c r="B39" s="756" t="s">
        <v>186</v>
      </c>
      <c r="C39" s="178" t="s">
        <v>25</v>
      </c>
      <c r="D39" s="525" t="str">
        <f>IF(E39='Parametre - Agendové IS'!K87,"OK","Chyba počtu FTE")</f>
        <v>OK</v>
      </c>
      <c r="E39" s="597">
        <f t="shared" ref="E39:E68" si="1">F39+G39+H39+I39</f>
        <v>17.473015873015871</v>
      </c>
      <c r="F39" s="596">
        <v>17.473015873015871</v>
      </c>
      <c r="G39" s="243"/>
      <c r="H39" s="243"/>
      <c r="I39" s="243"/>
    </row>
    <row r="40" spans="1:9" ht="15.75" thickBot="1" x14ac:dyDescent="0.3">
      <c r="A40" s="759"/>
      <c r="B40" s="757"/>
      <c r="C40" s="175" t="s">
        <v>26</v>
      </c>
      <c r="D40" s="527" t="str">
        <f>IF(E40='Parametre - Agendové IS'!K88,"OK","Chyba počtu FTE")</f>
        <v>OK</v>
      </c>
      <c r="E40" s="597">
        <f t="shared" si="1"/>
        <v>17.473015873015871</v>
      </c>
      <c r="F40" s="596">
        <v>17.473015873015871</v>
      </c>
      <c r="G40" s="244"/>
      <c r="H40" s="244"/>
      <c r="I40" s="244"/>
    </row>
    <row r="41" spans="1:9" ht="15.75" thickBot="1" x14ac:dyDescent="0.3">
      <c r="A41" s="759"/>
      <c r="B41" s="757"/>
      <c r="C41" s="175" t="s">
        <v>27</v>
      </c>
      <c r="D41" s="527" t="str">
        <f>IF(E41='Parametre - Agendové IS'!K89,"OK","Chyba počtu FTE")</f>
        <v>OK</v>
      </c>
      <c r="E41" s="597">
        <f t="shared" si="1"/>
        <v>17.473015873015871</v>
      </c>
      <c r="F41" s="596">
        <v>17.473015873015871</v>
      </c>
      <c r="G41" s="244"/>
      <c r="H41" s="244"/>
      <c r="I41" s="244"/>
    </row>
    <row r="42" spans="1:9" ht="15.75" thickBot="1" x14ac:dyDescent="0.3">
      <c r="A42" s="759"/>
      <c r="B42" s="757"/>
      <c r="C42" s="175" t="s">
        <v>28</v>
      </c>
      <c r="D42" s="527" t="str">
        <f>IF(E42='Parametre - Agendové IS'!K90,"OK","Chyba počtu FTE")</f>
        <v>Chyba počtu FTE</v>
      </c>
      <c r="E42" s="597">
        <f t="shared" si="1"/>
        <v>17.473015873015871</v>
      </c>
      <c r="F42" s="596">
        <v>17.473015873015871</v>
      </c>
      <c r="G42" s="244"/>
      <c r="H42" s="244"/>
      <c r="I42" s="244"/>
    </row>
    <row r="43" spans="1:9" ht="15.75" thickBot="1" x14ac:dyDescent="0.3">
      <c r="A43" s="759"/>
      <c r="B43" s="757"/>
      <c r="C43" s="175" t="s">
        <v>29</v>
      </c>
      <c r="D43" s="527" t="str">
        <f>IF(E43='Parametre - Agendové IS'!K91,"OK","Chyba počtu FTE")</f>
        <v>Chyba počtu FTE</v>
      </c>
      <c r="E43" s="597">
        <f t="shared" si="1"/>
        <v>17.473015873015871</v>
      </c>
      <c r="F43" s="596">
        <v>17.473015873015871</v>
      </c>
      <c r="G43" s="244"/>
      <c r="H43" s="244"/>
      <c r="I43" s="244"/>
    </row>
    <row r="44" spans="1:9" ht="15" customHeight="1" thickBot="1" x14ac:dyDescent="0.3">
      <c r="A44" s="759"/>
      <c r="B44" s="757"/>
      <c r="C44" s="175" t="s">
        <v>30</v>
      </c>
      <c r="D44" s="527" t="str">
        <f>IF(E44='Parametre - Agendové IS'!K92,"OK","Chyba počtu FTE")</f>
        <v>Chyba počtu FTE</v>
      </c>
      <c r="E44" s="597">
        <f t="shared" si="1"/>
        <v>17.473015873015871</v>
      </c>
      <c r="F44" s="596">
        <v>17.473015873015871</v>
      </c>
      <c r="G44" s="244"/>
      <c r="H44" s="244"/>
      <c r="I44" s="244"/>
    </row>
    <row r="45" spans="1:9" ht="15.75" thickBot="1" x14ac:dyDescent="0.3">
      <c r="A45" s="759"/>
      <c r="B45" s="757"/>
      <c r="C45" s="175" t="s">
        <v>31</v>
      </c>
      <c r="D45" s="527" t="str">
        <f>IF(E45='Parametre - Agendové IS'!K93,"OK","Chyba počtu FTE")</f>
        <v>Chyba počtu FTE</v>
      </c>
      <c r="E45" s="597">
        <f t="shared" si="1"/>
        <v>17.473015873015871</v>
      </c>
      <c r="F45" s="596">
        <v>17.473015873015871</v>
      </c>
      <c r="G45" s="244"/>
      <c r="H45" s="244"/>
      <c r="I45" s="244"/>
    </row>
    <row r="46" spans="1:9" ht="15.75" thickBot="1" x14ac:dyDescent="0.3">
      <c r="A46" s="759"/>
      <c r="B46" s="757"/>
      <c r="C46" s="175" t="s">
        <v>32</v>
      </c>
      <c r="D46" s="527" t="str">
        <f>IF(E46='Parametre - Agendové IS'!K94,"OK","Chyba počtu FTE")</f>
        <v>Chyba počtu FTE</v>
      </c>
      <c r="E46" s="597">
        <f t="shared" si="1"/>
        <v>17.473015873015871</v>
      </c>
      <c r="F46" s="596">
        <v>17.473015873015871</v>
      </c>
      <c r="G46" s="244"/>
      <c r="H46" s="244"/>
      <c r="I46" s="244"/>
    </row>
    <row r="47" spans="1:9" ht="15.75" thickBot="1" x14ac:dyDescent="0.3">
      <c r="A47" s="759"/>
      <c r="B47" s="757"/>
      <c r="C47" s="175" t="s">
        <v>33</v>
      </c>
      <c r="D47" s="527" t="str">
        <f>IF(E47='Parametre - Agendové IS'!K95,"OK","Chyba počtu FTE")</f>
        <v>Chyba počtu FTE</v>
      </c>
      <c r="E47" s="597">
        <f t="shared" si="1"/>
        <v>17.473015873015871</v>
      </c>
      <c r="F47" s="596">
        <v>17.473015873015871</v>
      </c>
      <c r="G47" s="244"/>
      <c r="H47" s="244"/>
      <c r="I47" s="244"/>
    </row>
    <row r="48" spans="1:9" ht="15.75" thickBot="1" x14ac:dyDescent="0.3">
      <c r="A48" s="759"/>
      <c r="B48" s="757"/>
      <c r="C48" s="175" t="s">
        <v>34</v>
      </c>
      <c r="D48" s="529" t="str">
        <f>IF(E48='Parametre - Agendové IS'!K96,"OK","Chyba počtu FTE")</f>
        <v>Chyba počtu FTE</v>
      </c>
      <c r="E48" s="597">
        <f t="shared" si="1"/>
        <v>17.473015873015871</v>
      </c>
      <c r="F48" s="596">
        <v>17.473015873015871</v>
      </c>
      <c r="G48" s="245"/>
      <c r="H48" s="245"/>
      <c r="I48" s="245"/>
    </row>
    <row r="49" spans="1:9" ht="15.75" thickBot="1" x14ac:dyDescent="0.3">
      <c r="A49" s="758" t="s">
        <v>41</v>
      </c>
      <c r="B49" s="756" t="s">
        <v>37</v>
      </c>
      <c r="C49" s="178" t="s">
        <v>25</v>
      </c>
      <c r="D49" s="526" t="str">
        <f>IF(E49='Parametre - Agendové IS'!K6,"OK","Chyba počtu podaní")</f>
        <v>OK</v>
      </c>
      <c r="E49" s="530">
        <f t="shared" si="1"/>
        <v>8256</v>
      </c>
      <c r="F49" s="243">
        <v>8256</v>
      </c>
      <c r="G49" s="243"/>
      <c r="H49" s="243"/>
      <c r="I49" s="243"/>
    </row>
    <row r="50" spans="1:9" ht="15.75" thickBot="1" x14ac:dyDescent="0.3">
      <c r="A50" s="759"/>
      <c r="B50" s="757"/>
      <c r="C50" s="175" t="s">
        <v>26</v>
      </c>
      <c r="D50" s="527" t="str">
        <f>IF(E50='Parametre - Agendové IS'!K7,"OK","Chyba počtu podaní")</f>
        <v>OK</v>
      </c>
      <c r="E50" s="528">
        <f t="shared" si="1"/>
        <v>8256</v>
      </c>
      <c r="F50" s="243">
        <v>8256</v>
      </c>
      <c r="G50" s="244"/>
      <c r="H50" s="244"/>
      <c r="I50" s="244"/>
    </row>
    <row r="51" spans="1:9" ht="15.75" thickBot="1" x14ac:dyDescent="0.3">
      <c r="A51" s="759"/>
      <c r="B51" s="757"/>
      <c r="C51" s="175" t="s">
        <v>27</v>
      </c>
      <c r="D51" s="527" t="str">
        <f>IF(E51='Parametre - Agendové IS'!K8,"OK","Chyba počtu podaní")</f>
        <v>OK</v>
      </c>
      <c r="E51" s="528">
        <f t="shared" si="1"/>
        <v>8256</v>
      </c>
      <c r="F51" s="243">
        <v>8256</v>
      </c>
      <c r="G51" s="244"/>
      <c r="H51" s="244"/>
      <c r="I51" s="244"/>
    </row>
    <row r="52" spans="1:9" ht="15.75" thickBot="1" x14ac:dyDescent="0.3">
      <c r="A52" s="759"/>
      <c r="B52" s="757"/>
      <c r="C52" s="175" t="s">
        <v>28</v>
      </c>
      <c r="D52" s="527" t="str">
        <f>IF(E52='Parametre - Agendové IS'!K9,"OK","Chyba počtu podaní")</f>
        <v>Chyba počtu podaní</v>
      </c>
      <c r="E52" s="528">
        <f t="shared" si="1"/>
        <v>8256</v>
      </c>
      <c r="F52" s="243">
        <v>8256</v>
      </c>
      <c r="G52" s="244"/>
      <c r="H52" s="244"/>
      <c r="I52" s="244"/>
    </row>
    <row r="53" spans="1:9" ht="15.75" thickBot="1" x14ac:dyDescent="0.3">
      <c r="A53" s="759"/>
      <c r="B53" s="757"/>
      <c r="C53" s="175" t="s">
        <v>29</v>
      </c>
      <c r="D53" s="527" t="str">
        <f>IF(E53='Parametre - Agendové IS'!K10,"OK","Chyba počtu podaní")</f>
        <v>Chyba počtu podaní</v>
      </c>
      <c r="E53" s="528">
        <f t="shared" si="1"/>
        <v>8256</v>
      </c>
      <c r="F53" s="243">
        <v>8256</v>
      </c>
      <c r="G53" s="244"/>
      <c r="H53" s="244"/>
      <c r="I53" s="244"/>
    </row>
    <row r="54" spans="1:9" ht="15.75" thickBot="1" x14ac:dyDescent="0.3">
      <c r="A54" s="759"/>
      <c r="B54" s="757"/>
      <c r="C54" s="175" t="s">
        <v>30</v>
      </c>
      <c r="D54" s="527" t="str">
        <f>IF(E54='Parametre - Agendové IS'!K11,"OK","Chyba počtu podaní")</f>
        <v>Chyba počtu podaní</v>
      </c>
      <c r="E54" s="528">
        <f t="shared" si="1"/>
        <v>8256</v>
      </c>
      <c r="F54" s="243">
        <v>8256</v>
      </c>
      <c r="G54" s="244"/>
      <c r="H54" s="244"/>
      <c r="I54" s="244"/>
    </row>
    <row r="55" spans="1:9" ht="15.75" thickBot="1" x14ac:dyDescent="0.3">
      <c r="A55" s="759"/>
      <c r="B55" s="757"/>
      <c r="C55" s="175" t="s">
        <v>31</v>
      </c>
      <c r="D55" s="527" t="str">
        <f>IF(E55='Parametre - Agendové IS'!K12,"OK","Chyba počtu podaní")</f>
        <v>Chyba počtu podaní</v>
      </c>
      <c r="E55" s="528">
        <f t="shared" si="1"/>
        <v>8256</v>
      </c>
      <c r="F55" s="243">
        <v>8256</v>
      </c>
      <c r="G55" s="244"/>
      <c r="H55" s="244"/>
      <c r="I55" s="244"/>
    </row>
    <row r="56" spans="1:9" ht="15.75" thickBot="1" x14ac:dyDescent="0.3">
      <c r="A56" s="759"/>
      <c r="B56" s="757"/>
      <c r="C56" s="175" t="s">
        <v>32</v>
      </c>
      <c r="D56" s="527" t="str">
        <f>IF(E56='Parametre - Agendové IS'!K13,"OK","Chyba počtu podaní")</f>
        <v>Chyba počtu podaní</v>
      </c>
      <c r="E56" s="528">
        <f t="shared" si="1"/>
        <v>8256</v>
      </c>
      <c r="F56" s="243">
        <v>8256</v>
      </c>
      <c r="G56" s="244"/>
      <c r="H56" s="244"/>
      <c r="I56" s="244"/>
    </row>
    <row r="57" spans="1:9" ht="15.75" thickBot="1" x14ac:dyDescent="0.3">
      <c r="A57" s="759"/>
      <c r="B57" s="757"/>
      <c r="C57" s="175" t="s">
        <v>33</v>
      </c>
      <c r="D57" s="527" t="str">
        <f>IF(E57='Parametre - Agendové IS'!K14,"OK","Chyba počtu podaní")</f>
        <v>Chyba počtu podaní</v>
      </c>
      <c r="E57" s="528">
        <f t="shared" si="1"/>
        <v>8256</v>
      </c>
      <c r="F57" s="243">
        <v>8256</v>
      </c>
      <c r="G57" s="244"/>
      <c r="H57" s="244"/>
      <c r="I57" s="244"/>
    </row>
    <row r="58" spans="1:9" ht="15.75" thickBot="1" x14ac:dyDescent="0.3">
      <c r="A58" s="760"/>
      <c r="B58" s="761"/>
      <c r="C58" s="176" t="s">
        <v>34</v>
      </c>
      <c r="D58" s="527" t="str">
        <f>IF(E58='Parametre - Agendové IS'!K15,"OK","Chyba počtu podaní")</f>
        <v>Chyba počtu podaní</v>
      </c>
      <c r="E58" s="528">
        <f t="shared" si="1"/>
        <v>8256</v>
      </c>
      <c r="F58" s="243">
        <v>8256</v>
      </c>
      <c r="G58" s="244"/>
      <c r="H58" s="244"/>
      <c r="I58" s="244"/>
    </row>
    <row r="59" spans="1:9" x14ac:dyDescent="0.25">
      <c r="A59" s="758" t="s">
        <v>39</v>
      </c>
      <c r="B59" s="756" t="s">
        <v>13</v>
      </c>
      <c r="C59" s="178" t="s">
        <v>25</v>
      </c>
      <c r="D59" s="526" t="str">
        <f>IF(E59='Parametre - Agendové IS'!K127,"OK","Chyba")</f>
        <v>OK</v>
      </c>
      <c r="E59" s="530">
        <f t="shared" si="1"/>
        <v>0</v>
      </c>
      <c r="F59" s="243"/>
      <c r="G59" s="243"/>
      <c r="H59" s="243"/>
      <c r="I59" s="243"/>
    </row>
    <row r="60" spans="1:9" x14ac:dyDescent="0.25">
      <c r="A60" s="759"/>
      <c r="B60" s="757"/>
      <c r="C60" s="175" t="s">
        <v>26</v>
      </c>
      <c r="D60" s="527" t="str">
        <f>IF(E60='Parametre - Agendové IS'!K128,"OK","Chyba")</f>
        <v>OK</v>
      </c>
      <c r="E60" s="528">
        <f t="shared" si="1"/>
        <v>0</v>
      </c>
      <c r="F60" s="244"/>
      <c r="G60" s="244"/>
      <c r="H60" s="244"/>
      <c r="I60" s="244"/>
    </row>
    <row r="61" spans="1:9" x14ac:dyDescent="0.25">
      <c r="A61" s="759"/>
      <c r="B61" s="757"/>
      <c r="C61" s="175" t="s">
        <v>27</v>
      </c>
      <c r="D61" s="527" t="str">
        <f>IF(E61='Parametre - Agendové IS'!K129,"OK","Chyba")</f>
        <v>OK</v>
      </c>
      <c r="E61" s="528">
        <f t="shared" si="1"/>
        <v>0</v>
      </c>
      <c r="F61" s="244"/>
      <c r="G61" s="244"/>
      <c r="H61" s="244"/>
      <c r="I61" s="244"/>
    </row>
    <row r="62" spans="1:9" x14ac:dyDescent="0.25">
      <c r="A62" s="759"/>
      <c r="B62" s="757"/>
      <c r="C62" s="175" t="s">
        <v>28</v>
      </c>
      <c r="D62" s="527" t="str">
        <f>IF(E62='Parametre - Agendové IS'!K130,"OK","Chyba")</f>
        <v>OK</v>
      </c>
      <c r="E62" s="528">
        <f t="shared" si="1"/>
        <v>0</v>
      </c>
      <c r="F62" s="244"/>
      <c r="G62" s="244"/>
      <c r="H62" s="244"/>
      <c r="I62" s="244"/>
    </row>
    <row r="63" spans="1:9" x14ac:dyDescent="0.25">
      <c r="A63" s="759"/>
      <c r="B63" s="757"/>
      <c r="C63" s="175" t="s">
        <v>29</v>
      </c>
      <c r="D63" s="527" t="str">
        <f>IF(E63='Parametre - Agendové IS'!K131,"OK","Chyba")</f>
        <v>OK</v>
      </c>
      <c r="E63" s="528">
        <f t="shared" si="1"/>
        <v>0</v>
      </c>
      <c r="F63" s="244"/>
      <c r="G63" s="244"/>
      <c r="H63" s="244"/>
      <c r="I63" s="244"/>
    </row>
    <row r="64" spans="1:9" x14ac:dyDescent="0.25">
      <c r="A64" s="759"/>
      <c r="B64" s="757"/>
      <c r="C64" s="175" t="s">
        <v>30</v>
      </c>
      <c r="D64" s="527" t="str">
        <f>IF(E64='Parametre - Agendové IS'!K132,"OK","Chyba")</f>
        <v>OK</v>
      </c>
      <c r="E64" s="528">
        <f t="shared" si="1"/>
        <v>0</v>
      </c>
      <c r="F64" s="244"/>
      <c r="G64" s="244"/>
      <c r="H64" s="244"/>
      <c r="I64" s="244"/>
    </row>
    <row r="65" spans="1:9" x14ac:dyDescent="0.25">
      <c r="A65" s="759"/>
      <c r="B65" s="757"/>
      <c r="C65" s="175" t="s">
        <v>31</v>
      </c>
      <c r="D65" s="527" t="str">
        <f>IF(E65='Parametre - Agendové IS'!K133,"OK","Chyba")</f>
        <v>OK</v>
      </c>
      <c r="E65" s="528">
        <f t="shared" si="1"/>
        <v>0</v>
      </c>
      <c r="F65" s="244"/>
      <c r="G65" s="244"/>
      <c r="H65" s="244"/>
      <c r="I65" s="244"/>
    </row>
    <row r="66" spans="1:9" x14ac:dyDescent="0.25">
      <c r="A66" s="759"/>
      <c r="B66" s="757"/>
      <c r="C66" s="175" t="s">
        <v>32</v>
      </c>
      <c r="D66" s="527" t="str">
        <f>IF(E66='Parametre - Agendové IS'!K134,"OK","Chyba")</f>
        <v>OK</v>
      </c>
      <c r="E66" s="528">
        <f t="shared" si="1"/>
        <v>0</v>
      </c>
      <c r="F66" s="244"/>
      <c r="G66" s="244"/>
      <c r="H66" s="244"/>
      <c r="I66" s="244"/>
    </row>
    <row r="67" spans="1:9" x14ac:dyDescent="0.25">
      <c r="A67" s="759"/>
      <c r="B67" s="757"/>
      <c r="C67" s="175" t="s">
        <v>33</v>
      </c>
      <c r="D67" s="527" t="str">
        <f>IF(E67='Parametre - Agendové IS'!K135,"OK","Chyba")</f>
        <v>OK</v>
      </c>
      <c r="E67" s="528">
        <f t="shared" si="1"/>
        <v>0</v>
      </c>
      <c r="F67" s="244"/>
      <c r="G67" s="244"/>
      <c r="H67" s="244"/>
      <c r="I67" s="244"/>
    </row>
    <row r="68" spans="1:9" ht="15.75" thickBot="1" x14ac:dyDescent="0.3">
      <c r="A68" s="760"/>
      <c r="B68" s="761"/>
      <c r="C68" s="176" t="s">
        <v>34</v>
      </c>
      <c r="D68" s="527" t="str">
        <f>IF(E68='Parametre - Agendové IS'!K136,"OK","Chyba")</f>
        <v>OK</v>
      </c>
      <c r="E68" s="528">
        <f t="shared" si="1"/>
        <v>0</v>
      </c>
      <c r="F68" s="244"/>
      <c r="G68" s="244"/>
      <c r="H68" s="244"/>
      <c r="I68" s="244"/>
    </row>
    <row r="71" spans="1:9" ht="15.75" thickBot="1" x14ac:dyDescent="0.3"/>
    <row r="72" spans="1:9" x14ac:dyDescent="0.25">
      <c r="A72" s="750" t="str">
        <f>'Parametre - Agendové IS'!M1</f>
        <v>Projektove podpory</v>
      </c>
      <c r="B72" s="751"/>
      <c r="C72" s="752"/>
      <c r="D72" s="748" t="s">
        <v>105</v>
      </c>
      <c r="E72" s="749"/>
      <c r="F72" s="343" t="s">
        <v>165</v>
      </c>
      <c r="G72" s="343" t="s">
        <v>166</v>
      </c>
      <c r="H72" s="343" t="s">
        <v>167</v>
      </c>
      <c r="I72" s="343" t="s">
        <v>169</v>
      </c>
    </row>
    <row r="73" spans="1:9" ht="15.75" thickBot="1" x14ac:dyDescent="0.3">
      <c r="A73" s="753"/>
      <c r="B73" s="754"/>
      <c r="C73" s="755"/>
      <c r="D73" s="523" t="s">
        <v>354</v>
      </c>
      <c r="E73" s="524" t="s">
        <v>168</v>
      </c>
      <c r="F73" s="177" t="s">
        <v>168</v>
      </c>
      <c r="G73" s="177" t="s">
        <v>168</v>
      </c>
      <c r="H73" s="177" t="s">
        <v>168</v>
      </c>
      <c r="I73" s="177" t="s">
        <v>168</v>
      </c>
    </row>
    <row r="74" spans="1:9" x14ac:dyDescent="0.25">
      <c r="A74" s="758" t="s">
        <v>43</v>
      </c>
      <c r="B74" s="756" t="s">
        <v>186</v>
      </c>
      <c r="C74" s="178" t="s">
        <v>25</v>
      </c>
      <c r="D74" s="525" t="str">
        <f>IF(E74='Parametre - Agendové IS'!N87,"OK","Chyba počtu FTE")</f>
        <v>OK</v>
      </c>
      <c r="E74" s="597">
        <f t="shared" ref="E74:E103" si="2">F74+G74+H74+I74</f>
        <v>10.656084656084655</v>
      </c>
      <c r="F74" s="596">
        <v>10.656084656084655</v>
      </c>
      <c r="G74" s="243"/>
      <c r="H74" s="243"/>
      <c r="I74" s="243"/>
    </row>
    <row r="75" spans="1:9" x14ac:dyDescent="0.25">
      <c r="A75" s="759"/>
      <c r="B75" s="757"/>
      <c r="C75" s="175" t="s">
        <v>26</v>
      </c>
      <c r="D75" s="527" t="str">
        <f>IF(E75='Parametre - Agendové IS'!N88,"OK","Chyba počtu FTE")</f>
        <v>OK</v>
      </c>
      <c r="E75" s="598">
        <f t="shared" si="2"/>
        <v>10.869206349206353</v>
      </c>
      <c r="F75" s="591">
        <v>10.869206349206353</v>
      </c>
      <c r="G75" s="244"/>
      <c r="H75" s="244"/>
      <c r="I75" s="244"/>
    </row>
    <row r="76" spans="1:9" x14ac:dyDescent="0.25">
      <c r="A76" s="759"/>
      <c r="B76" s="757"/>
      <c r="C76" s="175" t="s">
        <v>27</v>
      </c>
      <c r="D76" s="527" t="str">
        <f>IF(E76='Parametre - Agendové IS'!N89,"OK","Chyba počtu FTE")</f>
        <v>OK</v>
      </c>
      <c r="E76" s="598">
        <f t="shared" si="2"/>
        <v>11.086590476190477</v>
      </c>
      <c r="F76" s="591">
        <v>11.086590476190477</v>
      </c>
      <c r="G76" s="244"/>
      <c r="H76" s="244"/>
      <c r="I76" s="244"/>
    </row>
    <row r="77" spans="1:9" x14ac:dyDescent="0.25">
      <c r="A77" s="759"/>
      <c r="B77" s="757"/>
      <c r="C77" s="175" t="s">
        <v>28</v>
      </c>
      <c r="D77" s="527" t="str">
        <f>IF(E77='Parametre - Agendové IS'!N90,"OK","Chyba počtu FTE")</f>
        <v>Chyba počtu FTE</v>
      </c>
      <c r="E77" s="598">
        <f t="shared" si="2"/>
        <v>11.308322285714286</v>
      </c>
      <c r="F77" s="591">
        <v>11.308322285714286</v>
      </c>
      <c r="G77" s="244"/>
      <c r="H77" s="244"/>
      <c r="I77" s="244"/>
    </row>
    <row r="78" spans="1:9" x14ac:dyDescent="0.25">
      <c r="A78" s="759"/>
      <c r="B78" s="757"/>
      <c r="C78" s="175" t="s">
        <v>29</v>
      </c>
      <c r="D78" s="527" t="str">
        <f>IF(E78='Parametre - Agendové IS'!N91,"OK","Chyba počtu FTE")</f>
        <v>Chyba počtu FTE</v>
      </c>
      <c r="E78" s="598">
        <f t="shared" si="2"/>
        <v>11.534488731428571</v>
      </c>
      <c r="F78" s="591">
        <v>11.534488731428571</v>
      </c>
      <c r="G78" s="244"/>
      <c r="H78" s="244"/>
      <c r="I78" s="244"/>
    </row>
    <row r="79" spans="1:9" x14ac:dyDescent="0.25">
      <c r="A79" s="759"/>
      <c r="B79" s="757"/>
      <c r="C79" s="175" t="s">
        <v>30</v>
      </c>
      <c r="D79" s="527" t="str">
        <f>IF(E79='Parametre - Agendové IS'!N92,"OK","Chyba počtu FTE")</f>
        <v>Chyba počtu FTE</v>
      </c>
      <c r="E79" s="598">
        <f t="shared" si="2"/>
        <v>11.765178506057142</v>
      </c>
      <c r="F79" s="591">
        <v>11.765178506057142</v>
      </c>
      <c r="G79" s="244"/>
      <c r="H79" s="244"/>
      <c r="I79" s="244"/>
    </row>
    <row r="80" spans="1:9" x14ac:dyDescent="0.25">
      <c r="A80" s="759"/>
      <c r="B80" s="757"/>
      <c r="C80" s="175" t="s">
        <v>31</v>
      </c>
      <c r="D80" s="527" t="str">
        <f>IF(E80='Parametre - Agendové IS'!N93,"OK","Chyba počtu FTE")</f>
        <v>Chyba počtu FTE</v>
      </c>
      <c r="E80" s="598">
        <f t="shared" si="2"/>
        <v>12.000482076178287</v>
      </c>
      <c r="F80" s="591">
        <v>12.000482076178287</v>
      </c>
      <c r="G80" s="244"/>
      <c r="H80" s="244"/>
      <c r="I80" s="244"/>
    </row>
    <row r="81" spans="1:9" x14ac:dyDescent="0.25">
      <c r="A81" s="759"/>
      <c r="B81" s="757"/>
      <c r="C81" s="175" t="s">
        <v>32</v>
      </c>
      <c r="D81" s="527" t="str">
        <f>IF(E81='Parametre - Agendové IS'!N94,"OK","Chyba počtu FTE")</f>
        <v>Chyba počtu FTE</v>
      </c>
      <c r="E81" s="598">
        <f t="shared" si="2"/>
        <v>12.240491717701852</v>
      </c>
      <c r="F81" s="591">
        <v>12.240491717701852</v>
      </c>
      <c r="G81" s="244"/>
      <c r="H81" s="244"/>
      <c r="I81" s="244"/>
    </row>
    <row r="82" spans="1:9" x14ac:dyDescent="0.25">
      <c r="A82" s="759"/>
      <c r="B82" s="757"/>
      <c r="C82" s="175" t="s">
        <v>33</v>
      </c>
      <c r="D82" s="527" t="str">
        <f>IF(E82='Parametre - Agendové IS'!N95,"OK","Chyba počtu FTE")</f>
        <v>Chyba počtu FTE</v>
      </c>
      <c r="E82" s="598">
        <f t="shared" si="2"/>
        <v>12.485301552055891</v>
      </c>
      <c r="F82" s="591">
        <v>12.485301552055891</v>
      </c>
      <c r="G82" s="244"/>
      <c r="H82" s="244"/>
      <c r="I82" s="244"/>
    </row>
    <row r="83" spans="1:9" ht="15.75" thickBot="1" x14ac:dyDescent="0.3">
      <c r="A83" s="759"/>
      <c r="B83" s="757"/>
      <c r="C83" s="175" t="s">
        <v>34</v>
      </c>
      <c r="D83" s="529" t="str">
        <f>IF(E83='Parametre - Agendové IS'!N96,"OK","Chyba počtu FTE")</f>
        <v>Chyba počtu FTE</v>
      </c>
      <c r="E83" s="599">
        <f t="shared" si="2"/>
        <v>12.735007583097008</v>
      </c>
      <c r="F83" s="591">
        <v>12.735007583097008</v>
      </c>
      <c r="G83" s="245"/>
      <c r="H83" s="245"/>
      <c r="I83" s="245"/>
    </row>
    <row r="84" spans="1:9" x14ac:dyDescent="0.25">
      <c r="A84" s="758" t="s">
        <v>41</v>
      </c>
      <c r="B84" s="756" t="s">
        <v>37</v>
      </c>
      <c r="C84" s="178" t="s">
        <v>25</v>
      </c>
      <c r="D84" s="526" t="str">
        <f>IF(E84='Parametre - Agendové IS'!N6,"OK","Chyba počtu podaní")</f>
        <v>OK</v>
      </c>
      <c r="E84" s="600">
        <f t="shared" si="2"/>
        <v>1007</v>
      </c>
      <c r="F84" s="243">
        <v>1007</v>
      </c>
      <c r="G84" s="243"/>
      <c r="H84" s="243"/>
      <c r="I84" s="243"/>
    </row>
    <row r="85" spans="1:9" x14ac:dyDescent="0.25">
      <c r="A85" s="759"/>
      <c r="B85" s="757"/>
      <c r="C85" s="175" t="s">
        <v>26</v>
      </c>
      <c r="D85" s="527" t="str">
        <f>IF(E85='Parametre - Agendové IS'!N7,"OK","Chyba počtu podaní")</f>
        <v>OK</v>
      </c>
      <c r="E85" s="598">
        <f t="shared" si="2"/>
        <v>1027.1400000000001</v>
      </c>
      <c r="F85" s="591">
        <f t="shared" ref="F85:F93" si="3">F84*1.02</f>
        <v>1027.1400000000001</v>
      </c>
      <c r="G85" s="244"/>
      <c r="H85" s="244"/>
      <c r="I85" s="244"/>
    </row>
    <row r="86" spans="1:9" x14ac:dyDescent="0.25">
      <c r="A86" s="759"/>
      <c r="B86" s="757"/>
      <c r="C86" s="175" t="s">
        <v>27</v>
      </c>
      <c r="D86" s="527" t="str">
        <f>IF(E86='Parametre - Agendové IS'!N8,"OK","Chyba počtu podaní")</f>
        <v>OK</v>
      </c>
      <c r="E86" s="598">
        <f t="shared" si="2"/>
        <v>1047.6828</v>
      </c>
      <c r="F86" s="591">
        <f t="shared" si="3"/>
        <v>1047.6828</v>
      </c>
      <c r="G86" s="244"/>
      <c r="H86" s="244"/>
      <c r="I86" s="244"/>
    </row>
    <row r="87" spans="1:9" x14ac:dyDescent="0.25">
      <c r="A87" s="759"/>
      <c r="B87" s="757"/>
      <c r="C87" s="175" t="s">
        <v>28</v>
      </c>
      <c r="D87" s="527" t="str">
        <f>IF(E87='Parametre - Agendové IS'!N9,"OK","Chyba počtu podaní")</f>
        <v>Chyba počtu podaní</v>
      </c>
      <c r="E87" s="598">
        <f t="shared" si="2"/>
        <v>1068.636456</v>
      </c>
      <c r="F87" s="591">
        <f t="shared" si="3"/>
        <v>1068.636456</v>
      </c>
      <c r="G87" s="244"/>
      <c r="H87" s="244"/>
      <c r="I87" s="244"/>
    </row>
    <row r="88" spans="1:9" x14ac:dyDescent="0.25">
      <c r="A88" s="759"/>
      <c r="B88" s="757"/>
      <c r="C88" s="175" t="s">
        <v>29</v>
      </c>
      <c r="D88" s="527" t="str">
        <f>IF(E88='Parametre - Agendové IS'!N10,"OK","Chyba počtu podaní")</f>
        <v>Chyba počtu podaní</v>
      </c>
      <c r="E88" s="598">
        <f t="shared" si="2"/>
        <v>1090.00918512</v>
      </c>
      <c r="F88" s="591">
        <f t="shared" si="3"/>
        <v>1090.00918512</v>
      </c>
      <c r="G88" s="244"/>
      <c r="H88" s="244"/>
      <c r="I88" s="244"/>
    </row>
    <row r="89" spans="1:9" x14ac:dyDescent="0.25">
      <c r="A89" s="759"/>
      <c r="B89" s="757"/>
      <c r="C89" s="175" t="s">
        <v>30</v>
      </c>
      <c r="D89" s="527" t="str">
        <f>IF(E89='Parametre - Agendové IS'!N11,"OK","Chyba počtu podaní")</f>
        <v>Chyba počtu podaní</v>
      </c>
      <c r="E89" s="598">
        <f t="shared" si="2"/>
        <v>1111.8093688224001</v>
      </c>
      <c r="F89" s="591">
        <f t="shared" si="3"/>
        <v>1111.8093688224001</v>
      </c>
      <c r="G89" s="244"/>
      <c r="H89" s="244"/>
      <c r="I89" s="244"/>
    </row>
    <row r="90" spans="1:9" x14ac:dyDescent="0.25">
      <c r="A90" s="759"/>
      <c r="B90" s="757"/>
      <c r="C90" s="175" t="s">
        <v>31</v>
      </c>
      <c r="D90" s="527" t="str">
        <f>IF(E90='Parametre - Agendové IS'!N12,"OK","Chyba počtu podaní")</f>
        <v>Chyba počtu podaní</v>
      </c>
      <c r="E90" s="598">
        <f t="shared" si="2"/>
        <v>1134.0455561988481</v>
      </c>
      <c r="F90" s="591">
        <f t="shared" si="3"/>
        <v>1134.0455561988481</v>
      </c>
      <c r="G90" s="244"/>
      <c r="H90" s="244"/>
      <c r="I90" s="244"/>
    </row>
    <row r="91" spans="1:9" x14ac:dyDescent="0.25">
      <c r="A91" s="759"/>
      <c r="B91" s="757"/>
      <c r="C91" s="175" t="s">
        <v>32</v>
      </c>
      <c r="D91" s="527" t="str">
        <f>IF(E91='Parametre - Agendové IS'!N13,"OK","Chyba počtu podaní")</f>
        <v>Chyba počtu podaní</v>
      </c>
      <c r="E91" s="598">
        <f t="shared" si="2"/>
        <v>1156.7264673228251</v>
      </c>
      <c r="F91" s="591">
        <f t="shared" si="3"/>
        <v>1156.7264673228251</v>
      </c>
      <c r="G91" s="244"/>
      <c r="H91" s="244"/>
      <c r="I91" s="244"/>
    </row>
    <row r="92" spans="1:9" x14ac:dyDescent="0.25">
      <c r="A92" s="759"/>
      <c r="B92" s="757"/>
      <c r="C92" s="175" t="s">
        <v>33</v>
      </c>
      <c r="D92" s="527" t="str">
        <f>IF(E92='Parametre - Agendové IS'!N14,"OK","Chyba počtu podaní")</f>
        <v>Chyba počtu podaní</v>
      </c>
      <c r="E92" s="598">
        <f t="shared" si="2"/>
        <v>1179.8609966692816</v>
      </c>
      <c r="F92" s="591">
        <f t="shared" si="3"/>
        <v>1179.8609966692816</v>
      </c>
      <c r="G92" s="244"/>
      <c r="H92" s="244"/>
      <c r="I92" s="244"/>
    </row>
    <row r="93" spans="1:9" ht="15.75" thickBot="1" x14ac:dyDescent="0.3">
      <c r="A93" s="760"/>
      <c r="B93" s="761"/>
      <c r="C93" s="176" t="s">
        <v>34</v>
      </c>
      <c r="D93" s="527" t="str">
        <f>IF(E93='Parametre - Agendové IS'!N15,"OK","Chyba počtu podaní")</f>
        <v>Chyba počtu podaní</v>
      </c>
      <c r="E93" s="598">
        <f t="shared" si="2"/>
        <v>1203.4582166026673</v>
      </c>
      <c r="F93" s="591">
        <f t="shared" si="3"/>
        <v>1203.4582166026673</v>
      </c>
      <c r="G93" s="244"/>
      <c r="H93" s="244"/>
      <c r="I93" s="244"/>
    </row>
    <row r="94" spans="1:9" x14ac:dyDescent="0.25">
      <c r="A94" s="758" t="s">
        <v>39</v>
      </c>
      <c r="B94" s="756" t="s">
        <v>13</v>
      </c>
      <c r="C94" s="178" t="s">
        <v>25</v>
      </c>
      <c r="D94" s="526" t="str">
        <f>IF(E94='Parametre - Agendové IS'!N127,"OK","Chyba")</f>
        <v>OK</v>
      </c>
      <c r="E94" s="530">
        <f t="shared" si="2"/>
        <v>0</v>
      </c>
      <c r="F94" s="243"/>
      <c r="G94" s="243"/>
      <c r="H94" s="243"/>
      <c r="I94" s="243"/>
    </row>
    <row r="95" spans="1:9" x14ac:dyDescent="0.25">
      <c r="A95" s="759"/>
      <c r="B95" s="757"/>
      <c r="C95" s="175" t="s">
        <v>26</v>
      </c>
      <c r="D95" s="527" t="str">
        <f>IF(E95='Parametre - Agendové IS'!N128,"OK","Chyba")</f>
        <v>OK</v>
      </c>
      <c r="E95" s="528">
        <f t="shared" si="2"/>
        <v>0</v>
      </c>
      <c r="F95" s="244"/>
      <c r="G95" s="244"/>
      <c r="H95" s="244"/>
      <c r="I95" s="244"/>
    </row>
    <row r="96" spans="1:9" x14ac:dyDescent="0.25">
      <c r="A96" s="759"/>
      <c r="B96" s="757"/>
      <c r="C96" s="175" t="s">
        <v>27</v>
      </c>
      <c r="D96" s="527" t="str">
        <f>IF(E96='Parametre - Agendové IS'!N129,"OK","Chyba")</f>
        <v>OK</v>
      </c>
      <c r="E96" s="528">
        <f t="shared" si="2"/>
        <v>0</v>
      </c>
      <c r="F96" s="244"/>
      <c r="G96" s="244"/>
      <c r="H96" s="244"/>
      <c r="I96" s="244"/>
    </row>
    <row r="97" spans="1:9" x14ac:dyDescent="0.25">
      <c r="A97" s="759"/>
      <c r="B97" s="757"/>
      <c r="C97" s="175" t="s">
        <v>28</v>
      </c>
      <c r="D97" s="527" t="str">
        <f>IF(E97='Parametre - Agendové IS'!N130,"OK","Chyba")</f>
        <v>OK</v>
      </c>
      <c r="E97" s="528">
        <f t="shared" si="2"/>
        <v>0</v>
      </c>
      <c r="F97" s="244"/>
      <c r="G97" s="244"/>
      <c r="H97" s="244"/>
      <c r="I97" s="244"/>
    </row>
    <row r="98" spans="1:9" x14ac:dyDescent="0.25">
      <c r="A98" s="759"/>
      <c r="B98" s="757"/>
      <c r="C98" s="175" t="s">
        <v>29</v>
      </c>
      <c r="D98" s="527" t="str">
        <f>IF(E98='Parametre - Agendové IS'!N131,"OK","Chyba")</f>
        <v>OK</v>
      </c>
      <c r="E98" s="528">
        <f t="shared" si="2"/>
        <v>0</v>
      </c>
      <c r="F98" s="244"/>
      <c r="G98" s="244"/>
      <c r="H98" s="244"/>
      <c r="I98" s="244"/>
    </row>
    <row r="99" spans="1:9" x14ac:dyDescent="0.25">
      <c r="A99" s="759"/>
      <c r="B99" s="757"/>
      <c r="C99" s="175" t="s">
        <v>30</v>
      </c>
      <c r="D99" s="527" t="str">
        <f>IF(E99='Parametre - Agendové IS'!N132,"OK","Chyba")</f>
        <v>OK</v>
      </c>
      <c r="E99" s="528">
        <f t="shared" si="2"/>
        <v>0</v>
      </c>
      <c r="F99" s="244"/>
      <c r="G99" s="244"/>
      <c r="H99" s="244"/>
      <c r="I99" s="244"/>
    </row>
    <row r="100" spans="1:9" x14ac:dyDescent="0.25">
      <c r="A100" s="759"/>
      <c r="B100" s="757"/>
      <c r="C100" s="175" t="s">
        <v>31</v>
      </c>
      <c r="D100" s="527" t="str">
        <f>IF(E100='Parametre - Agendové IS'!N133,"OK","Chyba")</f>
        <v>OK</v>
      </c>
      <c r="E100" s="528">
        <f t="shared" si="2"/>
        <v>0</v>
      </c>
      <c r="F100" s="244"/>
      <c r="G100" s="244"/>
      <c r="H100" s="244"/>
      <c r="I100" s="244"/>
    </row>
    <row r="101" spans="1:9" x14ac:dyDescent="0.25">
      <c r="A101" s="759"/>
      <c r="B101" s="757"/>
      <c r="C101" s="175" t="s">
        <v>32</v>
      </c>
      <c r="D101" s="527" t="str">
        <f>IF(E101='Parametre - Agendové IS'!N134,"OK","Chyba")</f>
        <v>OK</v>
      </c>
      <c r="E101" s="528">
        <f t="shared" si="2"/>
        <v>0</v>
      </c>
      <c r="F101" s="244"/>
      <c r="G101" s="244"/>
      <c r="H101" s="244"/>
      <c r="I101" s="244"/>
    </row>
    <row r="102" spans="1:9" x14ac:dyDescent="0.25">
      <c r="A102" s="759"/>
      <c r="B102" s="757"/>
      <c r="C102" s="175" t="s">
        <v>33</v>
      </c>
      <c r="D102" s="527" t="str">
        <f>IF(E102='Parametre - Agendové IS'!N135,"OK","Chyba")</f>
        <v>OK</v>
      </c>
      <c r="E102" s="528">
        <f t="shared" si="2"/>
        <v>0</v>
      </c>
      <c r="F102" s="244"/>
      <c r="G102" s="244"/>
      <c r="H102" s="244"/>
      <c r="I102" s="244"/>
    </row>
    <row r="103" spans="1:9" ht="15.75" thickBot="1" x14ac:dyDescent="0.3">
      <c r="A103" s="760"/>
      <c r="B103" s="761"/>
      <c r="C103" s="176" t="s">
        <v>34</v>
      </c>
      <c r="D103" s="527" t="str">
        <f>IF(E103='Parametre - Agendové IS'!N136,"OK","Chyba")</f>
        <v>OK</v>
      </c>
      <c r="E103" s="528">
        <f t="shared" si="2"/>
        <v>0</v>
      </c>
      <c r="F103" s="244"/>
      <c r="G103" s="244"/>
      <c r="H103" s="244"/>
      <c r="I103" s="244"/>
    </row>
  </sheetData>
  <mergeCells count="24">
    <mergeCell ref="A94:A103"/>
    <mergeCell ref="B94:B103"/>
    <mergeCell ref="A37:C38"/>
    <mergeCell ref="A39:A48"/>
    <mergeCell ref="B39:B48"/>
    <mergeCell ref="A49:A58"/>
    <mergeCell ref="B49:B58"/>
    <mergeCell ref="A72:C73"/>
    <mergeCell ref="A74:A83"/>
    <mergeCell ref="B74:B83"/>
    <mergeCell ref="A84:A93"/>
    <mergeCell ref="B84:B93"/>
    <mergeCell ref="D72:E72"/>
    <mergeCell ref="D37:E37"/>
    <mergeCell ref="D2:E2"/>
    <mergeCell ref="A2:C3"/>
    <mergeCell ref="B4:B13"/>
    <mergeCell ref="A14:A23"/>
    <mergeCell ref="B14:B23"/>
    <mergeCell ref="A4:A13"/>
    <mergeCell ref="A24:A33"/>
    <mergeCell ref="B24:B33"/>
    <mergeCell ref="A59:A68"/>
    <mergeCell ref="B59:B68"/>
  </mergeCells>
  <phoneticPr fontId="74" type="noConversion"/>
  <pageMargins left="0.7" right="0.7" top="0.75" bottom="0.75" header="0.3" footer="0.3"/>
  <pageSetup paperSize="9" scale="3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N32"/>
  <sheetViews>
    <sheetView view="pageBreakPreview" zoomScaleSheetLayoutView="100" workbookViewId="0">
      <selection activeCell="L21" sqref="L21"/>
    </sheetView>
  </sheetViews>
  <sheetFormatPr defaultColWidth="9.140625" defaultRowHeight="15" x14ac:dyDescent="0.25"/>
  <cols>
    <col min="1" max="1" width="9.140625" style="479"/>
    <col min="2" max="2" width="9.140625" style="479" customWidth="1"/>
    <col min="3" max="3" width="32" style="479" customWidth="1"/>
    <col min="4" max="4" width="17.7109375" style="479" bestFit="1" customWidth="1"/>
    <col min="5" max="5" width="13.85546875" style="479" bestFit="1" customWidth="1"/>
    <col min="6" max="10" width="9.140625" style="479"/>
    <col min="11" max="11" width="32.28515625" style="479" customWidth="1"/>
    <col min="12" max="12" width="17.7109375" style="479" bestFit="1" customWidth="1"/>
    <col min="13" max="13" width="15.42578125" style="479" bestFit="1" customWidth="1"/>
    <col min="14" max="16384" width="9.140625" style="479"/>
  </cols>
  <sheetData>
    <row r="1" spans="1:13" ht="21.75" customHeight="1" thickBot="1" x14ac:dyDescent="0.3">
      <c r="A1" s="639" t="s">
        <v>352</v>
      </c>
      <c r="B1" s="639"/>
      <c r="C1" s="639"/>
      <c r="D1" s="478"/>
      <c r="E1" s="478"/>
      <c r="F1" s="478"/>
      <c r="G1" s="478"/>
      <c r="H1" s="478"/>
      <c r="I1" s="639" t="s">
        <v>353</v>
      </c>
      <c r="J1" s="639"/>
      <c r="K1" s="639"/>
    </row>
    <row r="2" spans="1:13" x14ac:dyDescent="0.25">
      <c r="A2" s="640"/>
      <c r="B2" s="641"/>
      <c r="C2" s="642"/>
      <c r="D2" s="563" t="s">
        <v>393</v>
      </c>
      <c r="E2" s="564" t="s">
        <v>105</v>
      </c>
      <c r="I2" s="640"/>
      <c r="J2" s="641"/>
      <c r="K2" s="642"/>
      <c r="L2" s="563" t="s">
        <v>393</v>
      </c>
      <c r="M2" s="564" t="s">
        <v>105</v>
      </c>
    </row>
    <row r="3" spans="1:13" x14ac:dyDescent="0.25">
      <c r="A3" s="346" t="s">
        <v>357</v>
      </c>
      <c r="B3" s="347"/>
      <c r="C3" s="348"/>
      <c r="D3" s="349">
        <f>D4+D5+D9+D13+D14</f>
        <v>3515591.836734694</v>
      </c>
      <c r="E3" s="480">
        <f t="shared" ref="E3:E17" si="0">SUM(D3:D3)</f>
        <v>3515591.836734694</v>
      </c>
      <c r="I3" s="346" t="s">
        <v>357</v>
      </c>
      <c r="J3" s="347"/>
      <c r="K3" s="348"/>
      <c r="L3" s="349">
        <f>L4+L5+L9+L13+L14</f>
        <v>3597600</v>
      </c>
      <c r="M3" s="480">
        <f>M5+M13</f>
        <v>1080000</v>
      </c>
    </row>
    <row r="4" spans="1:13" x14ac:dyDescent="0.25">
      <c r="A4" s="350"/>
      <c r="B4" s="351" t="s">
        <v>68</v>
      </c>
      <c r="C4" s="352"/>
      <c r="D4" s="499">
        <f>'Parametre - Agendové IS'!I107+NPV(Faktory!$D$5,'Parametre - Agendové IS'!I108:I116)</f>
        <v>0</v>
      </c>
      <c r="E4" s="500">
        <f t="shared" si="0"/>
        <v>0</v>
      </c>
      <c r="I4" s="350"/>
      <c r="J4" s="351" t="s">
        <v>68</v>
      </c>
      <c r="K4" s="352"/>
      <c r="L4" s="499">
        <f>SUM('Parametre - Agendové IS'!I107:I116)</f>
        <v>0</v>
      </c>
      <c r="M4" s="500">
        <f t="shared" ref="M4:M17" si="1">SUM(L4:L4)</f>
        <v>0</v>
      </c>
    </row>
    <row r="5" spans="1:13" x14ac:dyDescent="0.25">
      <c r="A5" s="350"/>
      <c r="B5" s="351" t="s">
        <v>217</v>
      </c>
      <c r="C5" s="352"/>
      <c r="D5" s="499">
        <f>SUM(D6:D8)</f>
        <v>1008000</v>
      </c>
      <c r="E5" s="500">
        <f t="shared" si="0"/>
        <v>1008000</v>
      </c>
      <c r="I5" s="350"/>
      <c r="J5" s="351" t="s">
        <v>217</v>
      </c>
      <c r="K5" s="352"/>
      <c r="L5" s="499">
        <f>SUM(L6:L8)</f>
        <v>1008000</v>
      </c>
      <c r="M5" s="500">
        <f t="shared" si="1"/>
        <v>1008000</v>
      </c>
    </row>
    <row r="6" spans="1:13" x14ac:dyDescent="0.25">
      <c r="A6" s="353"/>
      <c r="B6" s="354"/>
      <c r="C6" s="355" t="s">
        <v>107</v>
      </c>
      <c r="D6" s="501">
        <f>('TCO TO BE- SW'!F26+NPV(Faktory!$D$5,'TCO TO BE- SW'!F27:F35)+'TCO TO BE- SW'!F36+NPV(Faktory!$D$5,'TCO TO BE- SW'!F37:F45)+'TCO TO BE- SW'!F46+NPV(Faktory!$D$5,'TCO TO BE- SW'!F47:F55))</f>
        <v>0</v>
      </c>
      <c r="E6" s="502">
        <f t="shared" si="0"/>
        <v>0</v>
      </c>
      <c r="I6" s="353"/>
      <c r="J6" s="354"/>
      <c r="K6" s="355" t="s">
        <v>107</v>
      </c>
      <c r="L6" s="501">
        <f>'TCO TO BE- SW'!F25</f>
        <v>0</v>
      </c>
      <c r="M6" s="502">
        <f t="shared" si="1"/>
        <v>0</v>
      </c>
    </row>
    <row r="7" spans="1:13" x14ac:dyDescent="0.25">
      <c r="A7" s="353"/>
      <c r="B7" s="354"/>
      <c r="C7" s="355" t="s">
        <v>67</v>
      </c>
      <c r="D7" s="501">
        <f>('TCO TO BE- SW'!F5+NPV(Faktory!$D$5,'TCO TO BE- SW'!F6:F14)+'TCO TO BE- SW'!F15+NPV(Faktory!$D$5,'TCO TO BE- SW'!F16:F24))</f>
        <v>1008000</v>
      </c>
      <c r="E7" s="502">
        <f t="shared" si="0"/>
        <v>1008000</v>
      </c>
      <c r="I7" s="353"/>
      <c r="J7" s="354"/>
      <c r="K7" s="355" t="s">
        <v>67</v>
      </c>
      <c r="L7" s="501">
        <f>'TCO TO BE- SW'!F4</f>
        <v>1008000</v>
      </c>
      <c r="M7" s="502">
        <f t="shared" si="1"/>
        <v>1008000</v>
      </c>
    </row>
    <row r="8" spans="1:13" x14ac:dyDescent="0.25">
      <c r="A8" s="353"/>
      <c r="B8" s="354"/>
      <c r="C8" s="355" t="s">
        <v>66</v>
      </c>
      <c r="D8" s="501">
        <f>('TCO TO BE - HW'!F4+NPV(Faktory!$D$5,'TCO TO BE - HW'!F5:F13)+'TCO TO BE - HW'!F14+NPV(Faktory!$D$5,'TCO TO BE - HW'!F15:F23)+'TCO TO BE - HW'!F24+NPV(Faktory!$D$5,'TCO TO BE - HW'!F25:F33))</f>
        <v>0</v>
      </c>
      <c r="E8" s="502">
        <f t="shared" si="0"/>
        <v>0</v>
      </c>
      <c r="I8" s="353"/>
      <c r="J8" s="354"/>
      <c r="K8" s="355" t="s">
        <v>66</v>
      </c>
      <c r="L8" s="501">
        <f>'TCO TO BE - HW'!F3</f>
        <v>0</v>
      </c>
      <c r="M8" s="502">
        <f t="shared" si="1"/>
        <v>0</v>
      </c>
    </row>
    <row r="9" spans="1:13" x14ac:dyDescent="0.25">
      <c r="A9" s="350"/>
      <c r="B9" s="351" t="s">
        <v>218</v>
      </c>
      <c r="C9" s="352"/>
      <c r="D9" s="499">
        <f>SUM(D10:D12)</f>
        <v>2437278.9115646258</v>
      </c>
      <c r="E9" s="500">
        <f t="shared" si="0"/>
        <v>2437278.9115646258</v>
      </c>
      <c r="I9" s="350"/>
      <c r="J9" s="351" t="s">
        <v>218</v>
      </c>
      <c r="K9" s="352"/>
      <c r="L9" s="499">
        <f>SUM(L10:L12)</f>
        <v>2517600</v>
      </c>
      <c r="M9" s="500">
        <f t="shared" si="1"/>
        <v>2517600</v>
      </c>
    </row>
    <row r="10" spans="1:13" x14ac:dyDescent="0.25">
      <c r="A10" s="353"/>
      <c r="B10" s="354"/>
      <c r="C10" s="355" t="s">
        <v>107</v>
      </c>
      <c r="D10" s="501">
        <f>('TCO TO BE- SW'!F79+NPV(Faktory!$D$5,'TCO TO BE- SW'!F80:F88)+'TCO TO BE- SW'!F89+NPV(Faktory!$D$5,'TCO TO BE- SW'!F90:F98)+'TCO TO BE- SW'!F99+NPV(Faktory!$D$5,'TCO TO BE- SW'!F100:F108)+'TCO TO BE- SW'!F109+NPV(Faktory!$D$5,'TCO TO BE- SW'!F110:F118)+'TCO TO BE- SW'!F119+NPV(Faktory!$D$5,'TCO TO BE- SW'!F120:F128))</f>
        <v>1415183.6734693877</v>
      </c>
      <c r="E10" s="502">
        <f t="shared" si="0"/>
        <v>1415183.6734693877</v>
      </c>
      <c r="I10" s="353"/>
      <c r="J10" s="354"/>
      <c r="K10" s="355" t="s">
        <v>107</v>
      </c>
      <c r="L10" s="501">
        <f>'TCO TO BE- SW'!F78</f>
        <v>1440000</v>
      </c>
      <c r="M10" s="502">
        <f t="shared" si="1"/>
        <v>1440000</v>
      </c>
    </row>
    <row r="11" spans="1:13" x14ac:dyDescent="0.25">
      <c r="A11" s="353"/>
      <c r="B11" s="354"/>
      <c r="C11" s="355" t="s">
        <v>67</v>
      </c>
      <c r="D11" s="501">
        <f>('TCO TO BE- SW'!F58+NPV(Faktory!$D$5,'TCO TO BE- SW'!F59:F67)+'TCO TO BE- SW'!F68+NPV(Faktory!$D$5,'TCO TO BE- SW'!F69:F77))</f>
        <v>884843.53741496603</v>
      </c>
      <c r="E11" s="502">
        <f t="shared" si="0"/>
        <v>884843.53741496603</v>
      </c>
      <c r="I11" s="353"/>
      <c r="J11" s="354"/>
      <c r="K11" s="355" t="s">
        <v>67</v>
      </c>
      <c r="L11" s="501">
        <f>'TCO TO BE- SW'!F57</f>
        <v>933600</v>
      </c>
      <c r="M11" s="502">
        <f t="shared" si="1"/>
        <v>933600</v>
      </c>
    </row>
    <row r="12" spans="1:13" x14ac:dyDescent="0.25">
      <c r="A12" s="353"/>
      <c r="B12" s="354"/>
      <c r="C12" s="355" t="s">
        <v>66</v>
      </c>
      <c r="D12" s="501">
        <f>('TCO TO BE - HW'!F35+NPV(Faktory!$D$5,'TCO TO BE - HW'!F36:F44)+'TCO TO BE - HW'!F45+NPV(Faktory!$D$5,'TCO TO BE - HW'!F46:F54)+'TCO TO BE - HW'!F55+NPV(Faktory!$D$5,'TCO TO BE - HW'!F56:F64)+'TCO TO BE - HW'!F65+NPV(Faktory!$D$5,'TCO TO BE - HW'!F66:F74)+'TCO TO BE - HW'!F75+NPV(Faktory!$D$5,'TCO TO BE - HW'!F76:F84))</f>
        <v>137251.7006802721</v>
      </c>
      <c r="E12" s="502">
        <f t="shared" si="0"/>
        <v>137251.7006802721</v>
      </c>
      <c r="I12" s="353"/>
      <c r="J12" s="354"/>
      <c r="K12" s="355" t="s">
        <v>66</v>
      </c>
      <c r="L12" s="501">
        <f>'TCO TO BE - HW'!F34</f>
        <v>144000</v>
      </c>
      <c r="M12" s="502">
        <f t="shared" si="1"/>
        <v>144000</v>
      </c>
    </row>
    <row r="13" spans="1:13" x14ac:dyDescent="0.25">
      <c r="A13" s="353"/>
      <c r="B13" s="351" t="s">
        <v>314</v>
      </c>
      <c r="C13" s="352"/>
      <c r="D13" s="566">
        <f>'TCO TO BE- SW'!F130+NPV(0.05,'TCO TO BE- SW'!F131:F139)+'TCO TO BE- SW'!F140+NPV(0.05,'TCO TO BE- SW'!F141:F149)</f>
        <v>70312.925170068018</v>
      </c>
      <c r="E13" s="500">
        <f t="shared" si="0"/>
        <v>70312.925170068018</v>
      </c>
      <c r="I13" s="353"/>
      <c r="J13" s="351" t="s">
        <v>314</v>
      </c>
      <c r="K13" s="352"/>
      <c r="L13" s="566">
        <f>'TCO TO BE- SW'!F129</f>
        <v>72000</v>
      </c>
      <c r="M13" s="500">
        <f t="shared" si="1"/>
        <v>72000</v>
      </c>
    </row>
    <row r="14" spans="1:13" x14ac:dyDescent="0.25">
      <c r="A14" s="353"/>
      <c r="B14" s="351" t="s">
        <v>344</v>
      </c>
      <c r="C14" s="352"/>
      <c r="D14" s="566">
        <f>'TCO TO BE- SW'!F151+NPV(0.05,'TCO TO BE- SW'!F152:F160)+'TCO TO BE- SW'!F161+NPV(0.05,'TCO TO BE- SW'!F162:F170)</f>
        <v>0</v>
      </c>
      <c r="E14" s="500">
        <f t="shared" si="0"/>
        <v>0</v>
      </c>
      <c r="I14" s="353"/>
      <c r="J14" s="351" t="s">
        <v>344</v>
      </c>
      <c r="K14" s="352"/>
      <c r="L14" s="566">
        <f>'TCO TO BE- SW'!F150</f>
        <v>0</v>
      </c>
      <c r="M14" s="500">
        <f t="shared" si="1"/>
        <v>0</v>
      </c>
    </row>
    <row r="15" spans="1:13" x14ac:dyDescent="0.25">
      <c r="A15" s="346" t="s">
        <v>213</v>
      </c>
      <c r="B15" s="347"/>
      <c r="C15" s="348"/>
      <c r="D15" s="497">
        <f>D16+D19</f>
        <v>4202857.712262921</v>
      </c>
      <c r="E15" s="498">
        <f t="shared" si="0"/>
        <v>4202857.712262921</v>
      </c>
      <c r="I15" s="346" t="s">
        <v>213</v>
      </c>
      <c r="J15" s="347"/>
      <c r="K15" s="348"/>
      <c r="L15" s="349">
        <f>L16+L19</f>
        <v>4409500.9939126438</v>
      </c>
      <c r="M15" s="480">
        <f t="shared" si="1"/>
        <v>4409500.9939126438</v>
      </c>
    </row>
    <row r="16" spans="1:13" x14ac:dyDescent="0.25">
      <c r="A16" s="350"/>
      <c r="B16" s="351" t="s">
        <v>17</v>
      </c>
      <c r="C16" s="352"/>
      <c r="D16" s="499">
        <f>D17+D18</f>
        <v>0</v>
      </c>
      <c r="E16" s="500">
        <f t="shared" si="0"/>
        <v>0</v>
      </c>
      <c r="I16" s="350"/>
      <c r="J16" s="351" t="s">
        <v>17</v>
      </c>
      <c r="K16" s="352"/>
      <c r="L16" s="499">
        <f>L17+L18</f>
        <v>0</v>
      </c>
      <c r="M16" s="500">
        <f t="shared" si="1"/>
        <v>0</v>
      </c>
    </row>
    <row r="17" spans="1:14" x14ac:dyDescent="0.25">
      <c r="A17" s="353"/>
      <c r="B17" s="354"/>
      <c r="C17" s="355" t="s">
        <v>47</v>
      </c>
      <c r="D17" s="501">
        <f>'Parametre - Agendové IS'!I117+NPV(Faktory!$D$3,'Parametre - Agendové IS'!I118:I126)</f>
        <v>0</v>
      </c>
      <c r="E17" s="502">
        <f t="shared" si="0"/>
        <v>0</v>
      </c>
      <c r="I17" s="353"/>
      <c r="J17" s="354"/>
      <c r="K17" s="355" t="s">
        <v>47</v>
      </c>
      <c r="L17" s="501">
        <f>SUM('Parametre - Agendové IS'!I117:I126)</f>
        <v>0</v>
      </c>
      <c r="M17" s="502">
        <f t="shared" si="1"/>
        <v>0</v>
      </c>
    </row>
    <row r="18" spans="1:14" x14ac:dyDescent="0.25">
      <c r="A18" s="353"/>
      <c r="B18" s="354"/>
      <c r="C18" s="355" t="s">
        <v>48</v>
      </c>
      <c r="D18" s="501"/>
      <c r="E18" s="502">
        <f>'Prínosy - Agendové IS'!G15</f>
        <v>0</v>
      </c>
      <c r="F18" s="481"/>
      <c r="I18" s="353"/>
      <c r="J18" s="354"/>
      <c r="K18" s="355" t="s">
        <v>48</v>
      </c>
      <c r="L18" s="501"/>
      <c r="M18" s="502">
        <f>'Prínosy - Agendové IS'!G14</f>
        <v>0</v>
      </c>
      <c r="N18" s="481"/>
    </row>
    <row r="19" spans="1:14" x14ac:dyDescent="0.25">
      <c r="A19" s="350"/>
      <c r="B19" s="351" t="s">
        <v>18</v>
      </c>
      <c r="C19" s="352"/>
      <c r="D19" s="499">
        <f>D20+D21+D23</f>
        <v>4202857.712262921</v>
      </c>
      <c r="E19" s="500">
        <f>SUM(D19:D19)</f>
        <v>4202857.712262921</v>
      </c>
      <c r="I19" s="350"/>
      <c r="J19" s="351" t="s">
        <v>18</v>
      </c>
      <c r="K19" s="352"/>
      <c r="L19" s="499">
        <f>L20+L21+L23</f>
        <v>4409500.9939126438</v>
      </c>
      <c r="M19" s="500">
        <f>SUM(L19:L19)</f>
        <v>4409500.9939126438</v>
      </c>
    </row>
    <row r="20" spans="1:14" x14ac:dyDescent="0.25">
      <c r="A20" s="353"/>
      <c r="B20" s="354"/>
      <c r="C20" s="355" t="s">
        <v>215</v>
      </c>
      <c r="D20" s="501">
        <f>'Parametre - Agendové IS'!I97+NPV(Faktory!$D$5,'Parametre - Agendové IS'!I98:I106)</f>
        <v>0</v>
      </c>
      <c r="E20" s="502">
        <f>SUM(D20:D20)</f>
        <v>0</v>
      </c>
      <c r="I20" s="353"/>
      <c r="J20" s="354"/>
      <c r="K20" s="355" t="s">
        <v>215</v>
      </c>
      <c r="L20" s="501">
        <f>SUM('Parametre - Agendové IS'!I97:I106)</f>
        <v>0</v>
      </c>
      <c r="M20" s="502">
        <f>SUM(L20:L20)</f>
        <v>0</v>
      </c>
    </row>
    <row r="21" spans="1:14" x14ac:dyDescent="0.25">
      <c r="A21" s="353"/>
      <c r="B21" s="354"/>
      <c r="C21" s="355" t="s">
        <v>214</v>
      </c>
      <c r="D21" s="501">
        <f>-('Parametre - Agendové IS'!I77+NPV(Faktory!$D$5,'Parametre - Agendové IS'!I78:I86))</f>
        <v>4202857.712262921</v>
      </c>
      <c r="E21" s="502">
        <f>SUM(D21:D21)</f>
        <v>4202857.712262921</v>
      </c>
      <c r="I21" s="353"/>
      <c r="J21" s="354"/>
      <c r="K21" s="355" t="s">
        <v>214</v>
      </c>
      <c r="L21" s="501">
        <f>-(SUM('Parametre - Agendové IS'!I77:I86))</f>
        <v>4409500.9939126438</v>
      </c>
      <c r="M21" s="502">
        <f>SUM(L21:L21)</f>
        <v>4409500.9939126438</v>
      </c>
    </row>
    <row r="22" spans="1:14" x14ac:dyDescent="0.25">
      <c r="A22" s="353"/>
      <c r="B22" s="354"/>
      <c r="C22" s="355" t="s">
        <v>216</v>
      </c>
      <c r="D22" s="503" t="s">
        <v>219</v>
      </c>
      <c r="E22" s="504" t="s">
        <v>219</v>
      </c>
      <c r="I22" s="353"/>
      <c r="J22" s="354"/>
      <c r="K22" s="355" t="s">
        <v>216</v>
      </c>
      <c r="L22" s="501">
        <f>SUM('Parametre - Agendové IS'!I87:I96)</f>
        <v>-205.02222222222224</v>
      </c>
      <c r="M22" s="502">
        <f>SUM(L22:L22)</f>
        <v>-205.02222222222224</v>
      </c>
    </row>
    <row r="23" spans="1:14" ht="15.75" thickBot="1" x14ac:dyDescent="0.3">
      <c r="A23" s="356"/>
      <c r="B23" s="357"/>
      <c r="C23" s="358" t="s">
        <v>39</v>
      </c>
      <c r="D23" s="505">
        <f>'Parametre - Agendové IS'!I127+NPV(Faktory!$D$5,'Parametre - Agendové IS'!I128:I136)</f>
        <v>0</v>
      </c>
      <c r="E23" s="506">
        <f>SUM(D23:D23)</f>
        <v>0</v>
      </c>
      <c r="I23" s="353"/>
      <c r="J23" s="354"/>
      <c r="K23" s="355" t="s">
        <v>39</v>
      </c>
      <c r="L23" s="501">
        <f>SUM('Parametre - Agendové IS'!I127:I136)</f>
        <v>0</v>
      </c>
      <c r="M23" s="507">
        <f>SUM(L23:L23)</f>
        <v>0</v>
      </c>
    </row>
    <row r="24" spans="1:14" x14ac:dyDescent="0.25">
      <c r="A24" s="482"/>
      <c r="B24" s="351" t="s">
        <v>220</v>
      </c>
      <c r="C24" s="352"/>
      <c r="D24" s="565"/>
      <c r="E24" s="567"/>
      <c r="I24" s="482"/>
      <c r="J24" s="351" t="s">
        <v>220</v>
      </c>
      <c r="K24" s="352"/>
      <c r="L24" s="565"/>
      <c r="M24" s="567"/>
    </row>
    <row r="25" spans="1:14" x14ac:dyDescent="0.25">
      <c r="A25" s="483"/>
      <c r="B25" s="484"/>
      <c r="C25" s="485" t="s">
        <v>224</v>
      </c>
      <c r="D25" s="486"/>
      <c r="E25" s="486"/>
      <c r="I25" s="483"/>
      <c r="J25" s="484"/>
      <c r="K25" s="485" t="s">
        <v>224</v>
      </c>
      <c r="L25" s="486"/>
      <c r="M25" s="486"/>
    </row>
    <row r="26" spans="1:14" x14ac:dyDescent="0.25">
      <c r="A26" s="483"/>
      <c r="B26" s="484"/>
      <c r="C26" s="487" t="s">
        <v>221</v>
      </c>
      <c r="D26" s="486"/>
      <c r="E26" s="486"/>
      <c r="I26" s="483"/>
      <c r="J26" s="484"/>
      <c r="K26" s="487" t="s">
        <v>221</v>
      </c>
      <c r="L26" s="486"/>
      <c r="M26" s="486"/>
    </row>
    <row r="27" spans="1:14" x14ac:dyDescent="0.25">
      <c r="A27" s="483"/>
      <c r="B27" s="484"/>
      <c r="C27" s="487" t="s">
        <v>221</v>
      </c>
      <c r="D27" s="486"/>
      <c r="E27" s="486"/>
      <c r="I27" s="483"/>
      <c r="J27" s="484"/>
      <c r="K27" s="487" t="s">
        <v>221</v>
      </c>
      <c r="L27" s="486"/>
      <c r="M27" s="486"/>
    </row>
    <row r="28" spans="1:14" x14ac:dyDescent="0.25">
      <c r="C28" s="488"/>
      <c r="K28" s="488"/>
    </row>
    <row r="29" spans="1:14" x14ac:dyDescent="0.25">
      <c r="C29" s="488"/>
      <c r="K29" s="488"/>
    </row>
    <row r="30" spans="1:14" x14ac:dyDescent="0.25">
      <c r="C30" s="488"/>
    </row>
    <row r="32" spans="1:14" x14ac:dyDescent="0.25">
      <c r="H32" s="489"/>
      <c r="I32" s="489"/>
    </row>
  </sheetData>
  <sheetProtection insertColumns="0" insertRows="0" deleteColumns="0" deleteRows="0"/>
  <mergeCells count="4">
    <mergeCell ref="I1:K1"/>
    <mergeCell ref="A1:C1"/>
    <mergeCell ref="I2:K2"/>
    <mergeCell ref="A2:C2"/>
  </mergeCells>
  <phoneticPr fontId="74" type="noConversion"/>
  <pageMargins left="0.7" right="0.7" top="0.75" bottom="0.75" header="0.3" footer="0.3"/>
  <pageSetup paperSize="9" scale="53" orientation="portrait" r:id="rId1"/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2"/>
  <sheetViews>
    <sheetView view="pageBreakPreview" zoomScale="150" zoomScaleSheetLayoutView="284" workbookViewId="0">
      <selection activeCell="E21" sqref="E21"/>
    </sheetView>
  </sheetViews>
  <sheetFormatPr defaultColWidth="8.85546875" defaultRowHeight="15" x14ac:dyDescent="0.25"/>
  <cols>
    <col min="1" max="1" width="9.28515625" customWidth="1"/>
    <col min="2" max="2" width="15" customWidth="1"/>
    <col min="3" max="3" width="15.140625" customWidth="1"/>
    <col min="4" max="4" width="14.140625" customWidth="1"/>
    <col min="5" max="5" width="16.28515625" bestFit="1" customWidth="1"/>
    <col min="6" max="6" width="15.140625" customWidth="1"/>
    <col min="7" max="7" width="13.7109375" customWidth="1"/>
    <col min="8" max="8" width="9.85546875" customWidth="1"/>
    <col min="9" max="9" width="22.7109375" customWidth="1"/>
    <col min="10" max="10" width="22.140625" customWidth="1"/>
    <col min="11" max="11" width="20.42578125" customWidth="1"/>
    <col min="12" max="12" width="23.140625" customWidth="1"/>
  </cols>
  <sheetData>
    <row r="1" spans="1:12" ht="15.75" thickBot="1" x14ac:dyDescent="0.3">
      <c r="A1" s="9"/>
      <c r="B1" s="645" t="s">
        <v>36</v>
      </c>
      <c r="C1" s="646"/>
      <c r="D1" s="646"/>
      <c r="E1" s="646"/>
      <c r="F1" s="646"/>
      <c r="G1" s="647"/>
      <c r="H1" s="648" t="s">
        <v>16</v>
      </c>
      <c r="I1" s="649"/>
      <c r="J1" s="649"/>
      <c r="K1" s="649"/>
      <c r="L1" s="650"/>
    </row>
    <row r="2" spans="1:12" ht="30" x14ac:dyDescent="0.25">
      <c r="A2" s="10"/>
      <c r="B2" s="648" t="s">
        <v>355</v>
      </c>
      <c r="C2" s="649"/>
      <c r="D2" s="650"/>
      <c r="E2" s="648" t="s">
        <v>356</v>
      </c>
      <c r="F2" s="649"/>
      <c r="G2" s="650"/>
      <c r="H2" s="54" t="s">
        <v>19</v>
      </c>
      <c r="I2" s="49" t="s">
        <v>20</v>
      </c>
      <c r="J2" s="12" t="s">
        <v>21</v>
      </c>
      <c r="K2" s="651" t="s">
        <v>22</v>
      </c>
      <c r="L2" s="652"/>
    </row>
    <row r="3" spans="1:12" ht="15.75" thickBot="1" x14ac:dyDescent="0.3">
      <c r="A3" s="11" t="s">
        <v>23</v>
      </c>
      <c r="B3" s="14" t="s">
        <v>227</v>
      </c>
      <c r="C3" s="15" t="s">
        <v>168</v>
      </c>
      <c r="D3" s="16" t="s">
        <v>24</v>
      </c>
      <c r="E3" s="14" t="s">
        <v>227</v>
      </c>
      <c r="F3" s="15" t="s">
        <v>168</v>
      </c>
      <c r="G3" s="16" t="s">
        <v>24</v>
      </c>
      <c r="H3" s="55"/>
      <c r="I3" s="50"/>
      <c r="J3" s="13"/>
      <c r="K3" s="643"/>
      <c r="L3" s="644"/>
    </row>
    <row r="4" spans="1:12" x14ac:dyDescent="0.25">
      <c r="A4" s="48" t="s">
        <v>25</v>
      </c>
      <c r="B4" s="27">
        <f>'Prínosy - Agendové IS'!Q4-'Výdavky - Agendové IS'!T4</f>
        <v>-239448</v>
      </c>
      <c r="C4" s="26">
        <f>'Prínosy - Agendové IS'!R4-'Výdavky - Agendové IS'!U4</f>
        <v>-2400000</v>
      </c>
      <c r="D4" s="34">
        <f>C4-B4</f>
        <v>-2160552</v>
      </c>
      <c r="E4" s="27">
        <f>'Prínosy - Agendové IS'!T4-('Výdavky - Agendové IS'!T4/1.2)</f>
        <v>-4165828.6315647508</v>
      </c>
      <c r="F4" s="27">
        <f>'Prínosy - Agendové IS'!U4-('Výdavky - Agendové IS'!U4/1.2)</f>
        <v>-4074818.3116505747</v>
      </c>
      <c r="G4" s="34">
        <f>F4-E4</f>
        <v>91010.319914176129</v>
      </c>
      <c r="H4" s="56">
        <v>0</v>
      </c>
      <c r="I4" s="51">
        <f>D4*(1/(1+Faktory!$D$3)^H4)</f>
        <v>-2160552</v>
      </c>
      <c r="J4" s="58">
        <f>G4*(1/(1+Faktory!$D$5)^H4)</f>
        <v>91010.319914176129</v>
      </c>
      <c r="K4" s="57">
        <f>J4</f>
        <v>91010.319914176129</v>
      </c>
      <c r="L4" s="31" t="str">
        <f>IF(K4&gt;0,"Rok návratu investície","&lt;")</f>
        <v>Rok návratu investície</v>
      </c>
    </row>
    <row r="5" spans="1:12" x14ac:dyDescent="0.25">
      <c r="A5" s="33" t="s">
        <v>26</v>
      </c>
      <c r="B5" s="27">
        <f>'Prínosy - Agendové IS'!Q5-'Výdavky - Agendové IS'!T5</f>
        <v>-239448</v>
      </c>
      <c r="C5" s="26">
        <f>'Prínosy - Agendové IS'!R5-'Výdavky - Agendové IS'!U5</f>
        <v>-646800</v>
      </c>
      <c r="D5" s="29">
        <f t="shared" ref="D5:D13" si="0">C5-B5</f>
        <v>-407352</v>
      </c>
      <c r="E5" s="27">
        <f>'Prínosy - Agendové IS'!T5-('Výdavky - Agendové IS'!T5/1.2)</f>
        <v>-4171329.0713168429</v>
      </c>
      <c r="F5" s="27">
        <f>'Prínosy - Agendové IS'!U5-('Výdavky - Agendové IS'!U5/1.2)</f>
        <v>-2618402.0114439847</v>
      </c>
      <c r="G5" s="29">
        <f t="shared" ref="G5:G13" si="1">F5-E5</f>
        <v>1552927.0598728582</v>
      </c>
      <c r="H5" s="56">
        <v>1</v>
      </c>
      <c r="I5" s="52">
        <f>D5*(1/(1+Faktory!$D$3)^H5)</f>
        <v>-391684.61538461538</v>
      </c>
      <c r="J5" s="59">
        <f>G5*(1/(1+Faktory!$D$5)^H5)</f>
        <v>1478978.1522598648</v>
      </c>
      <c r="K5" s="57">
        <f>J5+K4</f>
        <v>1569988.472174041</v>
      </c>
      <c r="L5" s="31" t="str">
        <f>IF(L4="&lt;",IF(K5&gt;0,"Rok návratu investície","&lt;"),"&gt;")</f>
        <v>&gt;</v>
      </c>
    </row>
    <row r="6" spans="1:12" x14ac:dyDescent="0.25">
      <c r="A6" s="33" t="s">
        <v>27</v>
      </c>
      <c r="B6" s="27">
        <f>'Prínosy - Agendové IS'!Q6-'Výdavky - Agendové IS'!T6</f>
        <v>-239448</v>
      </c>
      <c r="C6" s="26">
        <f>'Prínosy - Agendové IS'!R6-'Výdavky - Agendové IS'!U6</f>
        <v>-550800</v>
      </c>
      <c r="D6" s="29">
        <f t="shared" si="0"/>
        <v>-311352</v>
      </c>
      <c r="E6" s="27">
        <f>'Prínosy - Agendové IS'!T6-('Výdavky - Agendové IS'!T6/1.2)</f>
        <v>-4176939.5198639766</v>
      </c>
      <c r="F6" s="27">
        <f>'Prínosy - Agendové IS'!U6-('Výdavky - Agendové IS'!U6/1.2)</f>
        <v>-2543077.3852332626</v>
      </c>
      <c r="G6" s="29">
        <f t="shared" si="1"/>
        <v>1633862.1346307141</v>
      </c>
      <c r="H6" s="56">
        <v>2</v>
      </c>
      <c r="I6" s="52">
        <f>D6*(1/(1+Faktory!$D$3)^H6)</f>
        <v>-287862.42603550293</v>
      </c>
      <c r="J6" s="59">
        <f>G6*(1/(1+Faktory!$D$5)^H6)</f>
        <v>1481961.1198464525</v>
      </c>
      <c r="K6" s="57">
        <f t="shared" ref="K6:K13" si="2">J6+K5</f>
        <v>3051949.5920204935</v>
      </c>
      <c r="L6" s="31" t="str">
        <f t="shared" ref="L6:L13" si="3">IF(L5="&lt;",IF(K6&gt;0,"Rok návratu investície","&lt;"),"&gt;")</f>
        <v>&gt;</v>
      </c>
    </row>
    <row r="7" spans="1:12" x14ac:dyDescent="0.25">
      <c r="A7" s="33" t="s">
        <v>28</v>
      </c>
      <c r="B7" s="27">
        <f>'Prínosy - Agendové IS'!Q7-'Výdavky - Agendové IS'!T7</f>
        <v>0</v>
      </c>
      <c r="C7" s="26">
        <f>'Prínosy - Agendové IS'!R7-'Výdavky - Agendové IS'!U7</f>
        <v>0</v>
      </c>
      <c r="D7" s="29">
        <f t="shared" si="0"/>
        <v>0</v>
      </c>
      <c r="E7" s="27">
        <f>'Prínosy - Agendové IS'!T7-('Výdavky - Agendové IS'!T7/1.2)</f>
        <v>0</v>
      </c>
      <c r="F7" s="27">
        <f>'Prínosy - Agendové IS'!U7-('Výdavky - Agendové IS'!U7/1.2)</f>
        <v>0</v>
      </c>
      <c r="G7" s="29">
        <f t="shared" si="1"/>
        <v>0</v>
      </c>
      <c r="H7" s="56">
        <v>3</v>
      </c>
      <c r="I7" s="52">
        <f>D7*(1/(1+Faktory!$D$3)^H7)</f>
        <v>0</v>
      </c>
      <c r="J7" s="59">
        <f>G7*(1/(1+Faktory!$D$5)^H7)</f>
        <v>0</v>
      </c>
      <c r="K7" s="57">
        <f t="shared" si="2"/>
        <v>3051949.5920204935</v>
      </c>
      <c r="L7" s="31" t="str">
        <f t="shared" si="3"/>
        <v>&gt;</v>
      </c>
    </row>
    <row r="8" spans="1:12" x14ac:dyDescent="0.25">
      <c r="A8" s="33" t="s">
        <v>29</v>
      </c>
      <c r="B8" s="27">
        <f>'Prínosy - Agendové IS'!Q8-'Výdavky - Agendové IS'!T8</f>
        <v>0</v>
      </c>
      <c r="C8" s="26">
        <f>'Prínosy - Agendové IS'!R8-'Výdavky - Agendové IS'!U8</f>
        <v>0</v>
      </c>
      <c r="D8" s="29">
        <f t="shared" si="0"/>
        <v>0</v>
      </c>
      <c r="E8" s="27">
        <f>'Prínosy - Agendové IS'!T8-('Výdavky - Agendové IS'!T8/1.2)</f>
        <v>0</v>
      </c>
      <c r="F8" s="27">
        <f>'Prínosy - Agendové IS'!U8-('Výdavky - Agendové IS'!U8/1.2)</f>
        <v>0</v>
      </c>
      <c r="G8" s="29">
        <f t="shared" si="1"/>
        <v>0</v>
      </c>
      <c r="H8" s="56">
        <v>4</v>
      </c>
      <c r="I8" s="52">
        <f>D8*(1/(1+Faktory!$D$3)^H8)</f>
        <v>0</v>
      </c>
      <c r="J8" s="59">
        <f>G8*(1/(1+Faktory!$D$5)^H8)</f>
        <v>0</v>
      </c>
      <c r="K8" s="57">
        <f t="shared" si="2"/>
        <v>3051949.5920204935</v>
      </c>
      <c r="L8" s="31" t="str">
        <f t="shared" si="3"/>
        <v>&gt;</v>
      </c>
    </row>
    <row r="9" spans="1:12" x14ac:dyDescent="0.25">
      <c r="A9" s="33" t="s">
        <v>30</v>
      </c>
      <c r="B9" s="27">
        <f>'Prínosy - Agendové IS'!Q9-'Výdavky - Agendové IS'!T9</f>
        <v>0</v>
      </c>
      <c r="C9" s="26">
        <f>'Prínosy - Agendové IS'!R9-'Výdavky - Agendové IS'!U9</f>
        <v>0</v>
      </c>
      <c r="D9" s="29">
        <f t="shared" si="0"/>
        <v>0</v>
      </c>
      <c r="E9" s="27">
        <f>'Prínosy - Agendové IS'!T9-('Výdavky - Agendové IS'!T9/1.2)</f>
        <v>0</v>
      </c>
      <c r="F9" s="27">
        <f>'Prínosy - Agendové IS'!U9-('Výdavky - Agendové IS'!U9/1.2)</f>
        <v>0</v>
      </c>
      <c r="G9" s="29">
        <f t="shared" si="1"/>
        <v>0</v>
      </c>
      <c r="H9" s="56">
        <v>5</v>
      </c>
      <c r="I9" s="52">
        <f>D9*(1/(1+Faktory!$D$3)^H9)</f>
        <v>0</v>
      </c>
      <c r="J9" s="59">
        <f>G9*(1/(1+Faktory!$D$5)^H9)</f>
        <v>0</v>
      </c>
      <c r="K9" s="57">
        <f t="shared" si="2"/>
        <v>3051949.5920204935</v>
      </c>
      <c r="L9" s="31" t="str">
        <f t="shared" si="3"/>
        <v>&gt;</v>
      </c>
    </row>
    <row r="10" spans="1:12" x14ac:dyDescent="0.25">
      <c r="A10" s="33" t="s">
        <v>31</v>
      </c>
      <c r="B10" s="27">
        <f>'Prínosy - Agendové IS'!Q10-'Výdavky - Agendové IS'!T10</f>
        <v>0</v>
      </c>
      <c r="C10" s="26">
        <f>'Prínosy - Agendové IS'!R10-'Výdavky - Agendové IS'!U10</f>
        <v>0</v>
      </c>
      <c r="D10" s="29">
        <f t="shared" si="0"/>
        <v>0</v>
      </c>
      <c r="E10" s="27">
        <f>'Prínosy - Agendové IS'!T10-('Výdavky - Agendové IS'!T10/1.2)</f>
        <v>0</v>
      </c>
      <c r="F10" s="27">
        <f>'Prínosy - Agendové IS'!U10-('Výdavky - Agendové IS'!U10/1.2)</f>
        <v>0</v>
      </c>
      <c r="G10" s="29">
        <f t="shared" si="1"/>
        <v>0</v>
      </c>
      <c r="H10" s="56">
        <v>6</v>
      </c>
      <c r="I10" s="52">
        <f>D10*(1/(1+Faktory!$D$3)^H10)</f>
        <v>0</v>
      </c>
      <c r="J10" s="59">
        <f>G10*(1/(1+Faktory!$D$5)^H10)</f>
        <v>0</v>
      </c>
      <c r="K10" s="57">
        <f t="shared" si="2"/>
        <v>3051949.5920204935</v>
      </c>
      <c r="L10" s="31" t="str">
        <f t="shared" si="3"/>
        <v>&gt;</v>
      </c>
    </row>
    <row r="11" spans="1:12" x14ac:dyDescent="0.25">
      <c r="A11" s="33" t="s">
        <v>32</v>
      </c>
      <c r="B11" s="27">
        <f>'Prínosy - Agendové IS'!Q11-'Výdavky - Agendové IS'!T11</f>
        <v>0</v>
      </c>
      <c r="C11" s="26">
        <f>'Prínosy - Agendové IS'!R11-'Výdavky - Agendové IS'!U11</f>
        <v>0</v>
      </c>
      <c r="D11" s="29">
        <f t="shared" si="0"/>
        <v>0</v>
      </c>
      <c r="E11" s="27">
        <f>'Prínosy - Agendové IS'!T11-('Výdavky - Agendové IS'!T11/1.2)</f>
        <v>0</v>
      </c>
      <c r="F11" s="27">
        <f>'Prínosy - Agendové IS'!U11-('Výdavky - Agendové IS'!U11/1.2)</f>
        <v>0</v>
      </c>
      <c r="G11" s="29">
        <f t="shared" si="1"/>
        <v>0</v>
      </c>
      <c r="H11" s="56">
        <v>7</v>
      </c>
      <c r="I11" s="52">
        <f>D11*(1/(1+Faktory!$D$3)^H11)</f>
        <v>0</v>
      </c>
      <c r="J11" s="59">
        <f>G11*(1/(1+Faktory!$D$5)^H11)</f>
        <v>0</v>
      </c>
      <c r="K11" s="57">
        <f t="shared" si="2"/>
        <v>3051949.5920204935</v>
      </c>
      <c r="L11" s="31" t="str">
        <f t="shared" si="3"/>
        <v>&gt;</v>
      </c>
    </row>
    <row r="12" spans="1:12" x14ac:dyDescent="0.25">
      <c r="A12" s="33" t="s">
        <v>33</v>
      </c>
      <c r="B12" s="27">
        <f>'Prínosy - Agendové IS'!Q12-'Výdavky - Agendové IS'!T12</f>
        <v>0</v>
      </c>
      <c r="C12" s="26">
        <f>'Prínosy - Agendové IS'!R12-'Výdavky - Agendové IS'!U12</f>
        <v>0</v>
      </c>
      <c r="D12" s="29">
        <f t="shared" si="0"/>
        <v>0</v>
      </c>
      <c r="E12" s="27">
        <f>'Prínosy - Agendové IS'!T12-('Výdavky - Agendové IS'!T12/1.2)</f>
        <v>0</v>
      </c>
      <c r="F12" s="27">
        <f>'Prínosy - Agendové IS'!U12-('Výdavky - Agendové IS'!U12/1.2)</f>
        <v>0</v>
      </c>
      <c r="G12" s="29">
        <f t="shared" si="1"/>
        <v>0</v>
      </c>
      <c r="H12" s="56">
        <v>8</v>
      </c>
      <c r="I12" s="52">
        <f>D12*(1/(1+Faktory!$D$3)^H12)</f>
        <v>0</v>
      </c>
      <c r="J12" s="59">
        <f>G12*(1/(1+Faktory!$D$5)^H12)</f>
        <v>0</v>
      </c>
      <c r="K12" s="57">
        <f t="shared" si="2"/>
        <v>3051949.5920204935</v>
      </c>
      <c r="L12" s="31" t="str">
        <f t="shared" si="3"/>
        <v>&gt;</v>
      </c>
    </row>
    <row r="13" spans="1:12" ht="15.75" thickBot="1" x14ac:dyDescent="0.3">
      <c r="A13" s="33" t="s">
        <v>34</v>
      </c>
      <c r="B13" s="47">
        <f>'Prínosy - Agendové IS'!Q13-'Výdavky - Agendové IS'!T13</f>
        <v>0</v>
      </c>
      <c r="C13" s="43">
        <f>'Prínosy - Agendové IS'!R13-'Výdavky - Agendové IS'!U13</f>
        <v>0</v>
      </c>
      <c r="D13" s="35">
        <f t="shared" si="0"/>
        <v>0</v>
      </c>
      <c r="E13" s="27">
        <f>'Prínosy - Agendové IS'!T13-('Výdavky - Agendové IS'!T13/1.2)</f>
        <v>0</v>
      </c>
      <c r="F13" s="27">
        <f>'Prínosy - Agendové IS'!U13-('Výdavky - Agendové IS'!U13/1.2)</f>
        <v>0</v>
      </c>
      <c r="G13" s="35">
        <f t="shared" si="1"/>
        <v>0</v>
      </c>
      <c r="H13" s="56">
        <v>9</v>
      </c>
      <c r="I13" s="53">
        <f>D13*(1/(1+Faktory!$D$3)^H13)</f>
        <v>0</v>
      </c>
      <c r="J13" s="60">
        <f>G13*(1/(1+Faktory!$D$5)^H13)</f>
        <v>0</v>
      </c>
      <c r="K13" s="57">
        <f t="shared" si="2"/>
        <v>3051949.5920204935</v>
      </c>
      <c r="L13" s="31" t="str">
        <f t="shared" si="3"/>
        <v>&gt;</v>
      </c>
    </row>
    <row r="14" spans="1:12" ht="15.75" thickBot="1" x14ac:dyDescent="0.3">
      <c r="A14" s="62" t="s">
        <v>35</v>
      </c>
      <c r="B14" s="44">
        <f t="shared" ref="B14:G14" si="4">SUM(B4:B13)</f>
        <v>-718344</v>
      </c>
      <c r="C14" s="45">
        <f t="shared" si="4"/>
        <v>-3597600</v>
      </c>
      <c r="D14" s="45">
        <f t="shared" si="4"/>
        <v>-2879256</v>
      </c>
      <c r="E14" s="45">
        <f t="shared" si="4"/>
        <v>-12514097.222745569</v>
      </c>
      <c r="F14" s="45">
        <f t="shared" si="4"/>
        <v>-9236297.7083278224</v>
      </c>
      <c r="G14" s="46">
        <f t="shared" si="4"/>
        <v>3277799.5144177484</v>
      </c>
      <c r="H14" s="63" t="s">
        <v>35</v>
      </c>
      <c r="I14" s="179">
        <f>SUM(I4:I13)</f>
        <v>-2840099.0414201184</v>
      </c>
      <c r="J14" s="180">
        <f>SUM(J4:J13)</f>
        <v>3051949.5920204935</v>
      </c>
      <c r="K14" s="7"/>
      <c r="L14" s="7"/>
    </row>
    <row r="16" spans="1:12" ht="15.75" thickBot="1" x14ac:dyDescent="0.3">
      <c r="H16" s="106" t="s">
        <v>181</v>
      </c>
      <c r="J16" s="190" t="s">
        <v>170</v>
      </c>
      <c r="K16" s="190" t="s">
        <v>179</v>
      </c>
    </row>
    <row r="17" spans="5:11" s="131" customFormat="1" ht="15.75" thickBot="1" x14ac:dyDescent="0.25">
      <c r="H17" s="184" t="s">
        <v>120</v>
      </c>
      <c r="I17" s="186" t="s">
        <v>176</v>
      </c>
      <c r="J17" s="187">
        <f>'Prínosy - Agendové IS'!V15/('Výdavky - Agendové IS'!V15/1.2)</f>
        <v>2.2936961171702777</v>
      </c>
      <c r="K17" s="191">
        <v>1</v>
      </c>
    </row>
    <row r="18" spans="5:11" s="131" customFormat="1" ht="23.25" thickBot="1" x14ac:dyDescent="0.25">
      <c r="H18" s="185" t="s">
        <v>173</v>
      </c>
      <c r="I18" s="186" t="s">
        <v>177</v>
      </c>
      <c r="J18" s="188" t="s">
        <v>350</v>
      </c>
      <c r="K18" s="192" t="s">
        <v>180</v>
      </c>
    </row>
    <row r="19" spans="5:11" s="131" customFormat="1" ht="23.25" thickBot="1" x14ac:dyDescent="0.25">
      <c r="E19" s="181"/>
      <c r="H19" s="185" t="s">
        <v>174</v>
      </c>
      <c r="I19" s="186" t="s">
        <v>178</v>
      </c>
      <c r="J19" s="603" t="e">
        <f>IRR($G$4:$G$13)</f>
        <v>#NUM!</v>
      </c>
      <c r="K19" s="192">
        <v>0.05</v>
      </c>
    </row>
    <row r="20" spans="5:11" ht="15.75" thickBot="1" x14ac:dyDescent="0.3">
      <c r="H20" s="182"/>
      <c r="I20" s="183"/>
      <c r="J20" s="182"/>
      <c r="K20" s="193"/>
    </row>
    <row r="21" spans="5:11" s="131" customFormat="1" ht="23.25" thickBot="1" x14ac:dyDescent="0.25">
      <c r="H21" s="185" t="s">
        <v>175</v>
      </c>
      <c r="I21" s="186" t="s">
        <v>359</v>
      </c>
      <c r="J21" s="189">
        <f>I14</f>
        <v>-2840099.0414201184</v>
      </c>
      <c r="K21" s="194" t="s">
        <v>180</v>
      </c>
    </row>
    <row r="22" spans="5:11" s="131" customFormat="1" ht="23.25" thickBot="1" x14ac:dyDescent="0.25">
      <c r="H22" s="185" t="s">
        <v>71</v>
      </c>
      <c r="I22" s="186" t="s">
        <v>358</v>
      </c>
      <c r="J22" s="189">
        <f>J14</f>
        <v>3051949.5920204935</v>
      </c>
      <c r="K22" s="194">
        <v>0</v>
      </c>
    </row>
  </sheetData>
  <mergeCells count="6">
    <mergeCell ref="K3:L3"/>
    <mergeCell ref="B1:G1"/>
    <mergeCell ref="H1:L1"/>
    <mergeCell ref="B2:D2"/>
    <mergeCell ref="E2:G2"/>
    <mergeCell ref="K2:L2"/>
  </mergeCells>
  <phoneticPr fontId="74" type="noConversion"/>
  <conditionalFormatting sqref="L4:L13">
    <cfRule type="cellIs" dxfId="0" priority="1" stopIfTrue="1" operator="equal">
      <formula>"Rok návratu investície"</formula>
    </cfRule>
  </conditionalFormatting>
  <pageMargins left="0.7" right="0.7" top="0.75" bottom="0.75" header="0.3" footer="0.3"/>
  <pageSetup paperSize="9" scale="44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3"/>
  <sheetViews>
    <sheetView view="pageBreakPreview" topLeftCell="A31" zoomScale="167" zoomScaleNormal="80" zoomScaleSheetLayoutView="167" workbookViewId="0">
      <selection activeCell="Q55" sqref="Q55"/>
    </sheetView>
  </sheetViews>
  <sheetFormatPr defaultColWidth="8.85546875" defaultRowHeight="15" x14ac:dyDescent="0.25"/>
  <cols>
    <col min="1" max="1" width="7.85546875" style="61" customWidth="1"/>
    <col min="2" max="2" width="12.7109375" style="61" customWidth="1"/>
    <col min="3" max="3" width="14" style="61" customWidth="1"/>
    <col min="4" max="4" width="9.42578125" style="61" customWidth="1"/>
    <col min="5" max="5" width="11.85546875" style="61" customWidth="1"/>
    <col min="6" max="6" width="11.7109375" style="61" customWidth="1"/>
    <col min="7" max="7" width="9.7109375" customWidth="1"/>
    <col min="8" max="8" width="11.42578125" customWidth="1"/>
    <col min="9" max="9" width="10.85546875" customWidth="1"/>
    <col min="10" max="10" width="9.42578125" customWidth="1"/>
    <col min="11" max="11" width="12.7109375" customWidth="1"/>
    <col min="12" max="12" width="11.42578125" customWidth="1"/>
    <col min="13" max="13" width="10.42578125" customWidth="1"/>
    <col min="14" max="14" width="13.28515625" customWidth="1"/>
    <col min="15" max="15" width="11.28515625" customWidth="1"/>
    <col min="16" max="16" width="9.7109375" customWidth="1"/>
    <col min="17" max="17" width="14.7109375" customWidth="1"/>
    <col min="18" max="18" width="15.7109375" customWidth="1"/>
  </cols>
  <sheetData>
    <row r="2" spans="1:18" x14ac:dyDescent="0.25">
      <c r="A2" s="222" t="s">
        <v>120</v>
      </c>
      <c r="B2" s="223">
        <f>'CBA - Agendové IS'!J17</f>
        <v>2.2936961171702777</v>
      </c>
    </row>
    <row r="4" spans="1:18" x14ac:dyDescent="0.25">
      <c r="A4" s="213"/>
    </row>
    <row r="5" spans="1:18" ht="30" customHeight="1" x14ac:dyDescent="0.25">
      <c r="A5" s="213"/>
      <c r="B5" s="661" t="s">
        <v>199</v>
      </c>
      <c r="C5" s="662"/>
      <c r="D5" s="231"/>
      <c r="E5" s="661" t="s">
        <v>200</v>
      </c>
      <c r="F5" s="662"/>
      <c r="H5" s="659" t="s">
        <v>195</v>
      </c>
      <c r="I5" s="660"/>
      <c r="J5" s="61"/>
      <c r="K5" s="661" t="s">
        <v>198</v>
      </c>
      <c r="L5" s="662"/>
      <c r="N5" s="659" t="s">
        <v>196</v>
      </c>
      <c r="O5" s="660"/>
      <c r="Q5" s="659" t="s">
        <v>197</v>
      </c>
      <c r="R5" s="660"/>
    </row>
    <row r="6" spans="1:18" x14ac:dyDescent="0.25">
      <c r="A6" s="213"/>
      <c r="B6" s="226" t="s">
        <v>12</v>
      </c>
      <c r="C6" s="225" t="s">
        <v>120</v>
      </c>
      <c r="D6" s="232"/>
      <c r="E6" s="226" t="s">
        <v>12</v>
      </c>
      <c r="F6" s="225" t="s">
        <v>120</v>
      </c>
      <c r="H6" s="226" t="s">
        <v>12</v>
      </c>
      <c r="I6" s="225" t="s">
        <v>120</v>
      </c>
      <c r="J6" s="61"/>
      <c r="K6" s="226" t="s">
        <v>12</v>
      </c>
      <c r="L6" s="225" t="s">
        <v>120</v>
      </c>
      <c r="N6" s="227" t="s">
        <v>12</v>
      </c>
      <c r="O6" s="228" t="s">
        <v>120</v>
      </c>
      <c r="Q6" s="227" t="s">
        <v>12</v>
      </c>
      <c r="R6" s="228" t="s">
        <v>120</v>
      </c>
    </row>
    <row r="7" spans="1:18" ht="15" customHeight="1" x14ac:dyDescent="0.25">
      <c r="A7" s="213"/>
      <c r="B7" s="218">
        <v>0</v>
      </c>
      <c r="C7" s="209">
        <f>B2</f>
        <v>2.2936961171702777</v>
      </c>
      <c r="D7" s="229"/>
      <c r="E7" s="218">
        <v>0</v>
      </c>
      <c r="F7" s="209">
        <f>B2</f>
        <v>2.2936961171702777</v>
      </c>
      <c r="H7" s="218">
        <v>0</v>
      </c>
      <c r="I7" s="209">
        <f>B2</f>
        <v>2.2936961171702777</v>
      </c>
      <c r="J7" s="61"/>
      <c r="K7" s="218">
        <v>0</v>
      </c>
      <c r="L7" s="209">
        <f>B2</f>
        <v>2.2936961171702777</v>
      </c>
      <c r="N7" s="220">
        <v>0</v>
      </c>
      <c r="O7" s="211">
        <f>B2</f>
        <v>2.2936961171702777</v>
      </c>
      <c r="Q7" s="220">
        <v>0</v>
      </c>
      <c r="R7" s="211">
        <f>B2</f>
        <v>2.2936961171702777</v>
      </c>
    </row>
    <row r="8" spans="1:18" x14ac:dyDescent="0.25">
      <c r="A8" s="213"/>
      <c r="B8" s="218">
        <v>0.1</v>
      </c>
      <c r="C8" s="214">
        <f t="dataTable" ref="C8:C17" dt2D="0" dtr="0" r1="B7" ca="1"/>
        <v>2.0403175453136866</v>
      </c>
      <c r="D8" s="230"/>
      <c r="E8" s="218">
        <v>0.1</v>
      </c>
      <c r="F8" s="214">
        <f t="dataTable" ref="F8:F17" dt2D="0" dtr="0" r1="E7" ca="1"/>
        <v>2.2148327806385257</v>
      </c>
      <c r="H8" s="218">
        <v>-0.1</v>
      </c>
      <c r="I8" s="214">
        <f t="dataTable" ref="I8:I17" dt2D="0" dtr="0" r1="H7" ca="1"/>
        <v>2.2936961171702777</v>
      </c>
      <c r="J8" s="61"/>
      <c r="K8" s="218">
        <v>-0.1</v>
      </c>
      <c r="L8" s="214">
        <f t="dataTable" ref="L8:L17" dt2D="0" dtr="0" r1="K7" ca="1"/>
        <v>2.5457218124221388</v>
      </c>
      <c r="N8" s="220">
        <v>-0.1</v>
      </c>
      <c r="O8" s="216">
        <f t="dataTable" ref="O8:O17" dt2D="0" dtr="0" r1="N7" ca="1"/>
        <v>2.0643265054532494</v>
      </c>
      <c r="Q8" s="220">
        <v>-0.1</v>
      </c>
      <c r="R8" s="216">
        <f t="dataTable" ref="R8:R17" dt2D="0" dtr="0" r1="Q7" ca="1"/>
        <v>2.2936961171702777</v>
      </c>
    </row>
    <row r="9" spans="1:18" x14ac:dyDescent="0.25">
      <c r="A9" s="212"/>
      <c r="B9" s="218">
        <v>0.2</v>
      </c>
      <c r="C9" s="214">
        <v>1.8373502950823863</v>
      </c>
      <c r="D9" s="230"/>
      <c r="E9" s="218">
        <v>0.2</v>
      </c>
      <c r="F9" s="214">
        <v>2.1412122428397762</v>
      </c>
      <c r="H9" s="218">
        <v>-0.2</v>
      </c>
      <c r="I9" s="214">
        <v>2.2936961171702777</v>
      </c>
      <c r="J9" s="61"/>
      <c r="K9" s="218">
        <v>-0.2</v>
      </c>
      <c r="L9" s="214">
        <v>2.7977475076740004</v>
      </c>
      <c r="N9" s="220">
        <v>-0.2</v>
      </c>
      <c r="O9" s="216">
        <v>1.8349568937362224</v>
      </c>
      <c r="Q9" s="220">
        <v>-0.2</v>
      </c>
      <c r="R9" s="216">
        <v>2.2936961171702777</v>
      </c>
    </row>
    <row r="10" spans="1:18" x14ac:dyDescent="0.25">
      <c r="A10" s="212"/>
      <c r="B10" s="218">
        <v>0.3</v>
      </c>
      <c r="C10" s="214">
        <v>1.6711110650723857</v>
      </c>
      <c r="D10" s="230"/>
      <c r="E10" s="218">
        <v>0.3</v>
      </c>
      <c r="F10" s="214">
        <v>2.0723285144328631</v>
      </c>
      <c r="H10" s="218">
        <v>-0.3</v>
      </c>
      <c r="I10" s="214">
        <v>2.2936961171702777</v>
      </c>
      <c r="J10" s="61"/>
      <c r="K10" s="218">
        <v>-0.3</v>
      </c>
      <c r="L10" s="214">
        <v>3.0497732029258615</v>
      </c>
      <c r="N10" s="220">
        <v>-0.3</v>
      </c>
      <c r="O10" s="216">
        <v>1.6055872820191943</v>
      </c>
      <c r="Q10" s="220">
        <v>-0.3</v>
      </c>
      <c r="R10" s="216">
        <v>2.2936961171702777</v>
      </c>
    </row>
    <row r="11" spans="1:18" x14ac:dyDescent="0.25">
      <c r="A11" s="212"/>
      <c r="B11" s="218">
        <v>0.4</v>
      </c>
      <c r="C11" s="214">
        <v>1.5324578063885665</v>
      </c>
      <c r="D11" s="230"/>
      <c r="E11" s="218">
        <v>0.4</v>
      </c>
      <c r="F11" s="214">
        <v>2.0077386882826569</v>
      </c>
      <c r="H11" s="218">
        <v>-0.4</v>
      </c>
      <c r="I11" s="214">
        <v>2.2936961171702777</v>
      </c>
      <c r="J11" s="61"/>
      <c r="K11" s="218">
        <v>-0.4</v>
      </c>
      <c r="L11" s="214">
        <v>3.3017988981777231</v>
      </c>
      <c r="N11" s="220">
        <v>-0.4</v>
      </c>
      <c r="O11" s="216">
        <v>1.3762176703021667</v>
      </c>
      <c r="Q11" s="220">
        <v>-0.4</v>
      </c>
      <c r="R11" s="216">
        <v>2.2936961171702777</v>
      </c>
    </row>
    <row r="12" spans="1:18" x14ac:dyDescent="0.25">
      <c r="A12" s="212"/>
      <c r="B12" s="218">
        <v>0.5</v>
      </c>
      <c r="C12" s="214">
        <v>1.4150501053624878</v>
      </c>
      <c r="D12" s="230"/>
      <c r="E12" s="218">
        <v>0.5</v>
      </c>
      <c r="F12" s="214">
        <v>1.9470534059448041</v>
      </c>
      <c r="H12" s="218">
        <v>-0.5</v>
      </c>
      <c r="I12" s="214">
        <v>2.2936961171702777</v>
      </c>
      <c r="J12" s="61"/>
      <c r="K12" s="218">
        <v>-0.5</v>
      </c>
      <c r="L12" s="214">
        <v>3.5538245934295842</v>
      </c>
      <c r="N12" s="220">
        <v>-0.5</v>
      </c>
      <c r="O12" s="216">
        <v>1.1468480585851388</v>
      </c>
      <c r="Q12" s="220">
        <v>-0.5</v>
      </c>
      <c r="R12" s="216">
        <v>2.2936961171702777</v>
      </c>
    </row>
    <row r="13" spans="1:18" x14ac:dyDescent="0.25">
      <c r="A13" s="212"/>
      <c r="B13" s="218">
        <v>0.6</v>
      </c>
      <c r="C13" s="214">
        <v>1.3143523339619207</v>
      </c>
      <c r="D13" s="230"/>
      <c r="E13" s="218">
        <v>0.6</v>
      </c>
      <c r="F13" s="214">
        <v>1.8899290023675275</v>
      </c>
      <c r="H13" s="218">
        <v>-0.6</v>
      </c>
      <c r="I13" s="214">
        <v>2.2936961171702777</v>
      </c>
      <c r="J13" s="61"/>
      <c r="K13" s="218">
        <v>-0.6</v>
      </c>
      <c r="L13" s="214">
        <v>3.8058502886814458</v>
      </c>
      <c r="N13" s="220">
        <v>-0.6</v>
      </c>
      <c r="O13" s="216">
        <v>0.91747844686811075</v>
      </c>
      <c r="Q13" s="220">
        <v>-0.6</v>
      </c>
      <c r="R13" s="216">
        <v>2.2936961171702777</v>
      </c>
    </row>
    <row r="14" spans="1:18" x14ac:dyDescent="0.25">
      <c r="A14" s="208"/>
      <c r="B14" s="218">
        <v>0.7</v>
      </c>
      <c r="C14" s="214">
        <v>1.2270341507111922</v>
      </c>
      <c r="D14" s="230"/>
      <c r="E14" s="218">
        <v>0.7</v>
      </c>
      <c r="F14" s="214">
        <v>1.8360609939749057</v>
      </c>
      <c r="H14" s="218">
        <v>-0.7</v>
      </c>
      <c r="I14" s="214">
        <v>2.2936961171702777</v>
      </c>
      <c r="J14" s="61"/>
      <c r="K14" s="218">
        <v>-0.7</v>
      </c>
      <c r="L14" s="214">
        <v>4.0578759839333074</v>
      </c>
      <c r="N14" s="220">
        <v>-0.7</v>
      </c>
      <c r="O14" s="216">
        <v>0.68810883515108312</v>
      </c>
      <c r="Q14" s="220">
        <v>-0.7</v>
      </c>
      <c r="R14" s="216">
        <v>2.2936961171702777</v>
      </c>
    </row>
    <row r="15" spans="1:18" x14ac:dyDescent="0.25">
      <c r="A15" s="208"/>
      <c r="B15" s="218">
        <v>0.8</v>
      </c>
      <c r="C15" s="214">
        <v>1.1505950792525415</v>
      </c>
      <c r="D15" s="230"/>
      <c r="E15" s="218">
        <v>0.8</v>
      </c>
      <c r="F15" s="214">
        <v>1.7851786495298301</v>
      </c>
      <c r="H15" s="218">
        <v>-0.8</v>
      </c>
      <c r="I15" s="214">
        <v>2.2936961171702777</v>
      </c>
      <c r="J15" s="61"/>
      <c r="K15" s="218">
        <v>-0.8</v>
      </c>
      <c r="L15" s="214">
        <v>4.3099016791851694</v>
      </c>
      <c r="N15" s="220">
        <v>-0.8</v>
      </c>
      <c r="O15" s="216">
        <v>0.45873922343405443</v>
      </c>
      <c r="Q15" s="220">
        <v>-0.8</v>
      </c>
      <c r="R15" s="216">
        <v>2.2936961171702777</v>
      </c>
    </row>
    <row r="16" spans="1:18" x14ac:dyDescent="0.25">
      <c r="A16" s="208"/>
      <c r="B16" s="218">
        <v>0.9</v>
      </c>
      <c r="C16" s="214">
        <v>1.0831211810649366</v>
      </c>
      <c r="D16" s="230"/>
      <c r="E16" s="218">
        <v>0.9</v>
      </c>
      <c r="F16" s="214">
        <v>1.7370404393928842</v>
      </c>
      <c r="H16" s="218">
        <v>-0.9</v>
      </c>
      <c r="I16" s="214">
        <v>2.2936961171702777</v>
      </c>
      <c r="J16" s="61"/>
      <c r="K16" s="218">
        <v>-0.9</v>
      </c>
      <c r="L16" s="214">
        <v>4.5619273744370297</v>
      </c>
      <c r="N16" s="220">
        <v>-0.9</v>
      </c>
      <c r="O16" s="216">
        <v>0.22936961171702749</v>
      </c>
      <c r="Q16" s="220">
        <v>-0.9</v>
      </c>
      <c r="R16" s="216">
        <v>2.2936961171702777</v>
      </c>
    </row>
    <row r="17" spans="1:18" x14ac:dyDescent="0.25">
      <c r="A17" s="208"/>
      <c r="B17" s="219">
        <v>1</v>
      </c>
      <c r="C17" s="215">
        <v>1.0231226016334158</v>
      </c>
      <c r="D17" s="230"/>
      <c r="E17" s="219">
        <v>1</v>
      </c>
      <c r="F17" s="215">
        <v>1.6914302017261307</v>
      </c>
      <c r="H17" s="219">
        <v>-1</v>
      </c>
      <c r="I17" s="215">
        <v>2.2936961171702777</v>
      </c>
      <c r="J17" s="61"/>
      <c r="K17" s="219">
        <v>-1</v>
      </c>
      <c r="L17" s="215">
        <v>4.8139530696888908</v>
      </c>
      <c r="N17" s="221">
        <v>-1</v>
      </c>
      <c r="O17" s="217">
        <v>0</v>
      </c>
      <c r="Q17" s="221">
        <v>-1</v>
      </c>
      <c r="R17" s="217">
        <v>2.2936961171702777</v>
      </c>
    </row>
    <row r="18" spans="1:18" x14ac:dyDescent="0.25">
      <c r="A18" s="212"/>
      <c r="B18" s="213"/>
      <c r="C18" s="213"/>
      <c r="D18" s="213"/>
      <c r="E18" s="213"/>
      <c r="F18" s="213"/>
      <c r="N18" s="224"/>
    </row>
    <row r="19" spans="1:18" x14ac:dyDescent="0.25">
      <c r="A19" s="212"/>
      <c r="B19" s="213"/>
      <c r="C19" s="213"/>
      <c r="D19" s="213"/>
      <c r="E19" s="213"/>
      <c r="F19" s="213"/>
    </row>
    <row r="20" spans="1:18" x14ac:dyDescent="0.25">
      <c r="A20" s="213"/>
      <c r="B20" s="213"/>
      <c r="C20" s="213"/>
      <c r="D20" s="213"/>
      <c r="E20" s="213"/>
      <c r="F20" s="213"/>
    </row>
    <row r="25" spans="1:18" ht="18.75" customHeight="1" x14ac:dyDescent="0.25">
      <c r="B25" s="213"/>
      <c r="C25" s="213"/>
      <c r="D25" s="653" t="s">
        <v>197</v>
      </c>
      <c r="E25" s="654"/>
      <c r="F25" s="654"/>
      <c r="G25" s="654"/>
      <c r="H25" s="654"/>
      <c r="I25" s="654"/>
      <c r="J25" s="654"/>
      <c r="K25" s="654"/>
      <c r="L25" s="654"/>
      <c r="M25" s="654"/>
      <c r="N25" s="655"/>
    </row>
    <row r="26" spans="1:18" x14ac:dyDescent="0.25">
      <c r="B26" s="213"/>
      <c r="C26" s="233">
        <f>B2</f>
        <v>2.2936961171702777</v>
      </c>
      <c r="D26" s="239">
        <v>0</v>
      </c>
      <c r="E26" s="236">
        <v>-0.1</v>
      </c>
      <c r="F26" s="236">
        <v>-0.2</v>
      </c>
      <c r="G26" s="236">
        <v>-0.3</v>
      </c>
      <c r="H26" s="236">
        <v>-0.4</v>
      </c>
      <c r="I26" s="236">
        <v>-0.5</v>
      </c>
      <c r="J26" s="236">
        <v>-0.6</v>
      </c>
      <c r="K26" s="236">
        <v>-0.7</v>
      </c>
      <c r="L26" s="236">
        <v>-0.8</v>
      </c>
      <c r="M26" s="236">
        <v>-0.9</v>
      </c>
      <c r="N26" s="240">
        <v>-1</v>
      </c>
    </row>
    <row r="27" spans="1:18" ht="14.25" customHeight="1" x14ac:dyDescent="0.25">
      <c r="B27" s="656" t="s">
        <v>196</v>
      </c>
      <c r="C27" s="241">
        <v>0</v>
      </c>
      <c r="D27" s="230">
        <f t="dataTable" ref="D27:N37" dt2D="1" dtr="1" r1="Q7" r2="N7" ca="1"/>
        <v>2.2936961171702777</v>
      </c>
      <c r="E27" s="230">
        <v>2.2936961171702777</v>
      </c>
      <c r="F27" s="230">
        <v>2.2936961171702777</v>
      </c>
      <c r="G27" s="235">
        <v>2.2936961171702777</v>
      </c>
      <c r="H27" s="235">
        <v>2.2936961171702777</v>
      </c>
      <c r="I27" s="235">
        <v>2.2936961171702777</v>
      </c>
      <c r="J27" s="235">
        <v>2.2936961171702777</v>
      </c>
      <c r="K27" s="235">
        <v>2.2936961171702777</v>
      </c>
      <c r="L27" s="235">
        <v>2.2936961171702777</v>
      </c>
      <c r="M27" s="235">
        <v>2.2936961171702777</v>
      </c>
      <c r="N27" s="216">
        <v>2.2936961171702777</v>
      </c>
    </row>
    <row r="28" spans="1:18" x14ac:dyDescent="0.25">
      <c r="B28" s="657"/>
      <c r="C28" s="234">
        <v>-0.1</v>
      </c>
      <c r="D28" s="230">
        <v>2.0643265054532494</v>
      </c>
      <c r="E28" s="230">
        <v>2.0643265054532494</v>
      </c>
      <c r="F28" s="230">
        <v>2.0643265054532494</v>
      </c>
      <c r="G28" s="235">
        <v>2.0643265054532494</v>
      </c>
      <c r="H28" s="235">
        <v>2.0643265054532494</v>
      </c>
      <c r="I28" s="235">
        <v>2.0643265054532494</v>
      </c>
      <c r="J28" s="235">
        <v>2.0643265054532494</v>
      </c>
      <c r="K28" s="235">
        <v>2.0643265054532494</v>
      </c>
      <c r="L28" s="235">
        <v>2.0643265054532494</v>
      </c>
      <c r="M28" s="235">
        <v>2.0643265054532494</v>
      </c>
      <c r="N28" s="216">
        <v>2.0643265054532494</v>
      </c>
    </row>
    <row r="29" spans="1:18" x14ac:dyDescent="0.25">
      <c r="B29" s="657"/>
      <c r="C29" s="234">
        <v>-0.2</v>
      </c>
      <c r="D29" s="230">
        <v>1.8349568937362224</v>
      </c>
      <c r="E29" s="230">
        <v>1.8349568937362224</v>
      </c>
      <c r="F29" s="230">
        <v>1.8349568937362224</v>
      </c>
      <c r="G29" s="235">
        <v>1.8349568937362224</v>
      </c>
      <c r="H29" s="235">
        <v>1.8349568937362224</v>
      </c>
      <c r="I29" s="235">
        <v>1.8349568937362224</v>
      </c>
      <c r="J29" s="235">
        <v>1.8349568937362224</v>
      </c>
      <c r="K29" s="235">
        <v>1.8349568937362224</v>
      </c>
      <c r="L29" s="235">
        <v>1.8349568937362224</v>
      </c>
      <c r="M29" s="235">
        <v>1.8349568937362224</v>
      </c>
      <c r="N29" s="216">
        <v>1.8349568937362224</v>
      </c>
    </row>
    <row r="30" spans="1:18" x14ac:dyDescent="0.25">
      <c r="B30" s="657"/>
      <c r="C30" s="234">
        <v>-0.3</v>
      </c>
      <c r="D30" s="230">
        <v>1.6055872820191943</v>
      </c>
      <c r="E30" s="230">
        <v>1.6055872820191943</v>
      </c>
      <c r="F30" s="230">
        <v>1.6055872820191943</v>
      </c>
      <c r="G30" s="235">
        <v>1.6055872820191943</v>
      </c>
      <c r="H30" s="235">
        <v>1.6055872820191943</v>
      </c>
      <c r="I30" s="235">
        <v>1.6055872820191943</v>
      </c>
      <c r="J30" s="235">
        <v>1.6055872820191943</v>
      </c>
      <c r="K30" s="235">
        <v>1.6055872820191943</v>
      </c>
      <c r="L30" s="235">
        <v>1.6055872820191943</v>
      </c>
      <c r="M30" s="235">
        <v>1.6055872820191943</v>
      </c>
      <c r="N30" s="216">
        <v>1.6055872820191943</v>
      </c>
    </row>
    <row r="31" spans="1:18" x14ac:dyDescent="0.25">
      <c r="B31" s="657"/>
      <c r="C31" s="234">
        <v>-0.4</v>
      </c>
      <c r="D31" s="230">
        <v>1.3762176703021667</v>
      </c>
      <c r="E31" s="230">
        <v>1.3762176703021667</v>
      </c>
      <c r="F31" s="230">
        <v>1.3762176703021667</v>
      </c>
      <c r="G31" s="235">
        <v>1.3762176703021667</v>
      </c>
      <c r="H31" s="235">
        <v>1.3762176703021667</v>
      </c>
      <c r="I31" s="235">
        <v>1.3762176703021667</v>
      </c>
      <c r="J31" s="235">
        <v>1.3762176703021667</v>
      </c>
      <c r="K31" s="235">
        <v>1.3762176703021667</v>
      </c>
      <c r="L31" s="235">
        <v>1.3762176703021667</v>
      </c>
      <c r="M31" s="235">
        <v>1.3762176703021667</v>
      </c>
      <c r="N31" s="216">
        <v>1.3762176703021667</v>
      </c>
    </row>
    <row r="32" spans="1:18" x14ac:dyDescent="0.25">
      <c r="B32" s="657"/>
      <c r="C32" s="234">
        <v>-0.5</v>
      </c>
      <c r="D32" s="230">
        <v>1.1468480585851388</v>
      </c>
      <c r="E32" s="230">
        <v>1.1468480585851388</v>
      </c>
      <c r="F32" s="230">
        <v>1.1468480585851388</v>
      </c>
      <c r="G32" s="235">
        <v>1.1468480585851388</v>
      </c>
      <c r="H32" s="235">
        <v>1.1468480585851388</v>
      </c>
      <c r="I32" s="235">
        <v>1.1468480585851388</v>
      </c>
      <c r="J32" s="235">
        <v>1.1468480585851388</v>
      </c>
      <c r="K32" s="235">
        <v>1.1468480585851388</v>
      </c>
      <c r="L32" s="235">
        <v>1.1468480585851388</v>
      </c>
      <c r="M32" s="235">
        <v>1.1468480585851388</v>
      </c>
      <c r="N32" s="216">
        <v>1.1468480585851388</v>
      </c>
    </row>
    <row r="33" spans="2:14" x14ac:dyDescent="0.25">
      <c r="B33" s="657"/>
      <c r="C33" s="234">
        <v>-0.6</v>
      </c>
      <c r="D33" s="230">
        <v>0.91747844686811075</v>
      </c>
      <c r="E33" s="230">
        <v>0.91747844686811075</v>
      </c>
      <c r="F33" s="230">
        <v>0.91747844686811075</v>
      </c>
      <c r="G33" s="235">
        <v>0.91747844686811075</v>
      </c>
      <c r="H33" s="235">
        <v>0.91747844686811075</v>
      </c>
      <c r="I33" s="235">
        <v>0.91747844686811075</v>
      </c>
      <c r="J33" s="235">
        <v>0.91747844686811075</v>
      </c>
      <c r="K33" s="235">
        <v>0.91747844686811075</v>
      </c>
      <c r="L33" s="235">
        <v>0.91747844686811075</v>
      </c>
      <c r="M33" s="235">
        <v>0.91747844686811075</v>
      </c>
      <c r="N33" s="216">
        <v>0.91747844686811075</v>
      </c>
    </row>
    <row r="34" spans="2:14" x14ac:dyDescent="0.25">
      <c r="B34" s="657"/>
      <c r="C34" s="234">
        <v>-0.7</v>
      </c>
      <c r="D34" s="230">
        <v>0.68810883515108312</v>
      </c>
      <c r="E34" s="230">
        <v>0.68810883515108312</v>
      </c>
      <c r="F34" s="230">
        <v>0.68810883515108312</v>
      </c>
      <c r="G34" s="235">
        <v>0.68810883515108312</v>
      </c>
      <c r="H34" s="235">
        <v>0.68810883515108312</v>
      </c>
      <c r="I34" s="235">
        <v>0.68810883515108312</v>
      </c>
      <c r="J34" s="235">
        <v>0.68810883515108312</v>
      </c>
      <c r="K34" s="235">
        <v>0.68810883515108312</v>
      </c>
      <c r="L34" s="235">
        <v>0.68810883515108312</v>
      </c>
      <c r="M34" s="235">
        <v>0.68810883515108312</v>
      </c>
      <c r="N34" s="216">
        <v>0.68810883515108312</v>
      </c>
    </row>
    <row r="35" spans="2:14" x14ac:dyDescent="0.25">
      <c r="B35" s="657"/>
      <c r="C35" s="234">
        <v>-0.8</v>
      </c>
      <c r="D35" s="230">
        <v>0.45873922343405443</v>
      </c>
      <c r="E35" s="230">
        <v>0.45873922343405443</v>
      </c>
      <c r="F35" s="230">
        <v>0.45873922343405443</v>
      </c>
      <c r="G35" s="235">
        <v>0.45873922343405443</v>
      </c>
      <c r="H35" s="235">
        <v>0.45873922343405443</v>
      </c>
      <c r="I35" s="235">
        <v>0.45873922343405443</v>
      </c>
      <c r="J35" s="235">
        <v>0.45873922343405443</v>
      </c>
      <c r="K35" s="235">
        <v>0.45873922343405443</v>
      </c>
      <c r="L35" s="235">
        <v>0.45873922343405443</v>
      </c>
      <c r="M35" s="235">
        <v>0.45873922343405443</v>
      </c>
      <c r="N35" s="216">
        <v>0.45873922343405443</v>
      </c>
    </row>
    <row r="36" spans="2:14" x14ac:dyDescent="0.25">
      <c r="B36" s="657"/>
      <c r="C36" s="234">
        <v>-0.9</v>
      </c>
      <c r="D36" s="230">
        <v>0.22936961171702749</v>
      </c>
      <c r="E36" s="230">
        <v>0.22936961171702749</v>
      </c>
      <c r="F36" s="230">
        <v>0.22936961171702749</v>
      </c>
      <c r="G36" s="235">
        <v>0.22936961171702749</v>
      </c>
      <c r="H36" s="235">
        <v>0.22936961171702749</v>
      </c>
      <c r="I36" s="235">
        <v>0.22936961171702749</v>
      </c>
      <c r="J36" s="235">
        <v>0.22936961171702749</v>
      </c>
      <c r="K36" s="235">
        <v>0.22936961171702749</v>
      </c>
      <c r="L36" s="235">
        <v>0.22936961171702749</v>
      </c>
      <c r="M36" s="235">
        <v>0.22936961171702749</v>
      </c>
      <c r="N36" s="216">
        <v>0.22936961171702749</v>
      </c>
    </row>
    <row r="37" spans="2:14" x14ac:dyDescent="0.25">
      <c r="B37" s="658"/>
      <c r="C37" s="240">
        <v>-1</v>
      </c>
      <c r="D37" s="237">
        <v>0</v>
      </c>
      <c r="E37" s="237">
        <v>0</v>
      </c>
      <c r="F37" s="237">
        <v>0</v>
      </c>
      <c r="G37" s="238">
        <v>0</v>
      </c>
      <c r="H37" s="238">
        <v>0</v>
      </c>
      <c r="I37" s="238">
        <v>0</v>
      </c>
      <c r="J37" s="238">
        <v>0</v>
      </c>
      <c r="K37" s="238">
        <v>0</v>
      </c>
      <c r="L37" s="238">
        <v>0</v>
      </c>
      <c r="M37" s="238">
        <v>0</v>
      </c>
      <c r="N37" s="217">
        <v>0</v>
      </c>
    </row>
    <row r="41" spans="2:14" x14ac:dyDescent="0.25">
      <c r="B41" s="213"/>
      <c r="C41" s="213"/>
      <c r="D41" s="653" t="s">
        <v>198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5"/>
    </row>
    <row r="42" spans="2:14" x14ac:dyDescent="0.25">
      <c r="B42" s="213"/>
      <c r="C42" s="233">
        <f>B2</f>
        <v>2.2936961171702777</v>
      </c>
      <c r="D42" s="239">
        <v>0</v>
      </c>
      <c r="E42" s="236">
        <v>-0.1</v>
      </c>
      <c r="F42" s="236">
        <v>-0.2</v>
      </c>
      <c r="G42" s="236">
        <v>-0.3</v>
      </c>
      <c r="H42" s="236">
        <v>-0.4</v>
      </c>
      <c r="I42" s="236">
        <v>-0.5</v>
      </c>
      <c r="J42" s="236">
        <v>-0.6</v>
      </c>
      <c r="K42" s="236">
        <v>-0.7</v>
      </c>
      <c r="L42" s="236">
        <v>-0.8</v>
      </c>
      <c r="M42" s="236">
        <v>-0.9</v>
      </c>
      <c r="N42" s="240">
        <v>-1</v>
      </c>
    </row>
    <row r="43" spans="2:14" x14ac:dyDescent="0.25">
      <c r="B43" s="656" t="s">
        <v>200</v>
      </c>
      <c r="C43" s="241">
        <v>0</v>
      </c>
      <c r="D43" s="230">
        <f t="dataTable" ref="D43:N53" dt2D="1" dtr="1" r1="K7" r2="E7"/>
        <v>2.2936961171702777</v>
      </c>
      <c r="E43" s="230">
        <v>2.5457218124221388</v>
      </c>
      <c r="F43" s="230">
        <v>2.7977475076740004</v>
      </c>
      <c r="G43" s="235">
        <v>3.0497732029258615</v>
      </c>
      <c r="H43" s="235">
        <v>3.3017988981777231</v>
      </c>
      <c r="I43" s="235">
        <v>3.5538245934295842</v>
      </c>
      <c r="J43" s="235">
        <v>3.8058502886814458</v>
      </c>
      <c r="K43" s="235">
        <v>4.0578759839333074</v>
      </c>
      <c r="L43" s="235">
        <v>4.3099016791851694</v>
      </c>
      <c r="M43" s="235">
        <v>4.5619273744370297</v>
      </c>
      <c r="N43" s="216">
        <v>4.8139530696888908</v>
      </c>
    </row>
    <row r="44" spans="2:14" x14ac:dyDescent="0.25">
      <c r="B44" s="657"/>
      <c r="C44" s="234">
        <v>0.1</v>
      </c>
      <c r="D44" s="230">
        <v>2.2148327806385257</v>
      </c>
      <c r="E44" s="230">
        <v>2.4581931661876277</v>
      </c>
      <c r="F44" s="230">
        <v>2.7015535517367306</v>
      </c>
      <c r="G44" s="235">
        <v>2.9449139372858326</v>
      </c>
      <c r="H44" s="235">
        <v>3.1882743228349351</v>
      </c>
      <c r="I44" s="235">
        <v>3.4316347083840375</v>
      </c>
      <c r="J44" s="235">
        <v>3.6749950939331399</v>
      </c>
      <c r="K44" s="235">
        <v>3.9183554794822424</v>
      </c>
      <c r="L44" s="235">
        <v>4.1617158650313453</v>
      </c>
      <c r="M44" s="235">
        <v>4.4050762505804464</v>
      </c>
      <c r="N44" s="216">
        <v>4.6484366361295493</v>
      </c>
    </row>
    <row r="45" spans="2:14" x14ac:dyDescent="0.25">
      <c r="B45" s="657"/>
      <c r="C45" s="234">
        <v>0.2</v>
      </c>
      <c r="D45" s="230">
        <v>2.1412122428397762</v>
      </c>
      <c r="E45" s="230">
        <v>2.3764833845327931</v>
      </c>
      <c r="F45" s="230">
        <v>2.6117545262258104</v>
      </c>
      <c r="G45" s="235">
        <v>2.8470256679188273</v>
      </c>
      <c r="H45" s="235">
        <v>3.082296809611845</v>
      </c>
      <c r="I45" s="235">
        <v>3.3175679513048624</v>
      </c>
      <c r="J45" s="235">
        <v>3.5528390929978793</v>
      </c>
      <c r="K45" s="235">
        <v>3.788110234690897</v>
      </c>
      <c r="L45" s="235">
        <v>4.0233813763839148</v>
      </c>
      <c r="M45" s="235">
        <v>4.2586525180769303</v>
      </c>
      <c r="N45" s="216">
        <v>4.4939236597699486</v>
      </c>
    </row>
    <row r="46" spans="2:14" x14ac:dyDescent="0.25">
      <c r="B46" s="657"/>
      <c r="C46" s="234">
        <v>0.3</v>
      </c>
      <c r="D46" s="230">
        <v>2.0723285144328631</v>
      </c>
      <c r="E46" s="230">
        <v>2.3000308812505446</v>
      </c>
      <c r="F46" s="230">
        <v>2.5277332480682269</v>
      </c>
      <c r="G46" s="235">
        <v>2.7554356148859083</v>
      </c>
      <c r="H46" s="235">
        <v>2.9831379817035906</v>
      </c>
      <c r="I46" s="235">
        <v>3.2108403485212724</v>
      </c>
      <c r="J46" s="235">
        <v>3.4385427153389543</v>
      </c>
      <c r="K46" s="235">
        <v>3.6662450821566366</v>
      </c>
      <c r="L46" s="235">
        <v>3.8939474489743189</v>
      </c>
      <c r="M46" s="235">
        <v>4.1216498157919998</v>
      </c>
      <c r="N46" s="216">
        <v>4.3493521826096817</v>
      </c>
    </row>
    <row r="47" spans="2:14" x14ac:dyDescent="0.25">
      <c r="B47" s="657"/>
      <c r="C47" s="234">
        <v>0.4</v>
      </c>
      <c r="D47" s="230">
        <v>2.0077386882826569</v>
      </c>
      <c r="E47" s="230">
        <v>2.2283440836576762</v>
      </c>
      <c r="F47" s="230">
        <v>2.4489494790326964</v>
      </c>
      <c r="G47" s="235">
        <v>2.6695548744077158</v>
      </c>
      <c r="H47" s="235">
        <v>2.890160269782736</v>
      </c>
      <c r="I47" s="235">
        <v>3.1107656651577558</v>
      </c>
      <c r="J47" s="235">
        <v>3.3313710605327755</v>
      </c>
      <c r="K47" s="235">
        <v>3.5519764559077953</v>
      </c>
      <c r="L47" s="235">
        <v>3.7725818512828155</v>
      </c>
      <c r="M47" s="235">
        <v>3.993187246657834</v>
      </c>
      <c r="N47" s="216">
        <v>4.2137926420328542</v>
      </c>
    </row>
    <row r="48" spans="2:14" x14ac:dyDescent="0.25">
      <c r="B48" s="657"/>
      <c r="C48" s="234">
        <v>0.5</v>
      </c>
      <c r="D48" s="230">
        <v>1.9470534059448041</v>
      </c>
      <c r="E48" s="230">
        <v>2.1609908515603666</v>
      </c>
      <c r="F48" s="230">
        <v>2.3749282971759298</v>
      </c>
      <c r="G48" s="235">
        <v>2.5888657427914921</v>
      </c>
      <c r="H48" s="235">
        <v>2.8028031884070552</v>
      </c>
      <c r="I48" s="235">
        <v>3.0167406340226179</v>
      </c>
      <c r="J48" s="235">
        <v>3.2306780796381807</v>
      </c>
      <c r="K48" s="235">
        <v>3.4446155252537438</v>
      </c>
      <c r="L48" s="235">
        <v>3.658552970869307</v>
      </c>
      <c r="M48" s="235">
        <v>3.8724904164848688</v>
      </c>
      <c r="N48" s="216">
        <v>4.0864278621004315</v>
      </c>
    </row>
    <row r="49" spans="2:14" x14ac:dyDescent="0.25">
      <c r="B49" s="657"/>
      <c r="C49" s="234">
        <v>0.6</v>
      </c>
      <c r="D49" s="230">
        <v>1.8899290023675275</v>
      </c>
      <c r="E49" s="230">
        <v>2.0975897588351082</v>
      </c>
      <c r="F49" s="230">
        <v>2.3052505153026894</v>
      </c>
      <c r="G49" s="235">
        <v>2.5129112717702697</v>
      </c>
      <c r="H49" s="235">
        <v>2.7205720282378509</v>
      </c>
      <c r="I49" s="235">
        <v>2.9282327847054317</v>
      </c>
      <c r="J49" s="235">
        <v>3.1358935411730124</v>
      </c>
      <c r="K49" s="235">
        <v>3.3435542976405936</v>
      </c>
      <c r="L49" s="235">
        <v>3.5512150541081748</v>
      </c>
      <c r="M49" s="235">
        <v>3.7588758105757547</v>
      </c>
      <c r="N49" s="216">
        <v>3.9665365670433359</v>
      </c>
    </row>
    <row r="50" spans="2:14" x14ac:dyDescent="0.25">
      <c r="B50" s="657"/>
      <c r="C50" s="234">
        <v>0.7</v>
      </c>
      <c r="D50" s="230">
        <v>1.8360609939749057</v>
      </c>
      <c r="E50" s="230">
        <v>2.037802865998573</v>
      </c>
      <c r="F50" s="230">
        <v>2.2395447380222406</v>
      </c>
      <c r="G50" s="235">
        <v>2.4412866100459079</v>
      </c>
      <c r="H50" s="235">
        <v>2.6430284820695755</v>
      </c>
      <c r="I50" s="235">
        <v>2.8447703540932432</v>
      </c>
      <c r="J50" s="235">
        <v>3.0465122261169104</v>
      </c>
      <c r="K50" s="235">
        <v>3.2482540981405781</v>
      </c>
      <c r="L50" s="235">
        <v>3.4499959701642462</v>
      </c>
      <c r="M50" s="235">
        <v>3.6517378421879125</v>
      </c>
      <c r="N50" s="216">
        <v>3.8534797142115802</v>
      </c>
    </row>
    <row r="51" spans="2:14" x14ac:dyDescent="0.25">
      <c r="B51" s="657"/>
      <c r="C51" s="234">
        <v>0.8</v>
      </c>
      <c r="D51" s="230">
        <v>1.7851786495298301</v>
      </c>
      <c r="E51" s="230">
        <v>1.9813296945303278</v>
      </c>
      <c r="F51" s="230">
        <v>2.177480739530826</v>
      </c>
      <c r="G51" s="235">
        <v>2.3736317845313235</v>
      </c>
      <c r="H51" s="235">
        <v>2.5697828295318215</v>
      </c>
      <c r="I51" s="235">
        <v>2.7659338745323194</v>
      </c>
      <c r="J51" s="235">
        <v>2.9620849195328174</v>
      </c>
      <c r="K51" s="235">
        <v>3.1582359645333153</v>
      </c>
      <c r="L51" s="235">
        <v>3.3543870095338137</v>
      </c>
      <c r="M51" s="235">
        <v>3.5505380545343104</v>
      </c>
      <c r="N51" s="216">
        <v>3.7466890995348088</v>
      </c>
    </row>
    <row r="52" spans="2:14" x14ac:dyDescent="0.25">
      <c r="B52" s="657"/>
      <c r="C52" s="234">
        <v>0.9</v>
      </c>
      <c r="D52" s="230">
        <v>1.7370404393928842</v>
      </c>
      <c r="E52" s="230">
        <v>1.9279021761074562</v>
      </c>
      <c r="F52" s="230">
        <v>2.1187639128220286</v>
      </c>
      <c r="G52" s="235">
        <v>2.3096256495366005</v>
      </c>
      <c r="H52" s="235">
        <v>2.5004873862511734</v>
      </c>
      <c r="I52" s="235">
        <v>2.6913491229657458</v>
      </c>
      <c r="J52" s="235">
        <v>2.8822108596803178</v>
      </c>
      <c r="K52" s="235">
        <v>3.0730725963948906</v>
      </c>
      <c r="L52" s="235">
        <v>3.263934333109463</v>
      </c>
      <c r="M52" s="235">
        <v>3.4547960698240345</v>
      </c>
      <c r="N52" s="216">
        <v>3.6456578065386069</v>
      </c>
    </row>
    <row r="53" spans="2:14" x14ac:dyDescent="0.25">
      <c r="B53" s="658"/>
      <c r="C53" s="240">
        <v>1</v>
      </c>
      <c r="D53" s="237">
        <v>1.6914302017261307</v>
      </c>
      <c r="E53" s="237">
        <v>1.8772803975602361</v>
      </c>
      <c r="F53" s="237">
        <v>2.0631305933943422</v>
      </c>
      <c r="G53" s="238">
        <v>2.2489807892284479</v>
      </c>
      <c r="H53" s="238">
        <v>2.434830985062554</v>
      </c>
      <c r="I53" s="238">
        <v>2.6206811808966597</v>
      </c>
      <c r="J53" s="238">
        <v>2.8065313767307654</v>
      </c>
      <c r="K53" s="238">
        <v>2.9923815725648715</v>
      </c>
      <c r="L53" s="238">
        <v>3.1782317683989776</v>
      </c>
      <c r="M53" s="238">
        <v>3.3640819642330824</v>
      </c>
      <c r="N53" s="217">
        <v>3.5499321600671885</v>
      </c>
    </row>
  </sheetData>
  <sheetProtection algorithmName="SHA-512" hashValue="dqd+ettbIsAQzamG7hohEAWj7LYgqtK4GHeDrc5QXa4Nl9dV9iy4G95/67sKKPulFay1zzDhIR6amoURKm9xxg==" saltValue="Jdn/cjq3bnIHWs2UgDdX4Q==" spinCount="100000" sheet="1" objects="1" scenarios="1"/>
  <mergeCells count="10">
    <mergeCell ref="D25:N25"/>
    <mergeCell ref="B27:B37"/>
    <mergeCell ref="D41:N41"/>
    <mergeCell ref="B43:B53"/>
    <mergeCell ref="Q5:R5"/>
    <mergeCell ref="N5:O5"/>
    <mergeCell ref="K5:L5"/>
    <mergeCell ref="B5:C5"/>
    <mergeCell ref="H5:I5"/>
    <mergeCell ref="E5:F5"/>
  </mergeCells>
  <phoneticPr fontId="74" type="noConversion"/>
  <conditionalFormatting sqref="D27:N37">
    <cfRule type="colorScale" priority="2">
      <colorScale>
        <cfvo type="min"/>
        <cfvo type="num" val="1"/>
        <cfvo type="max"/>
        <color rgb="FFF8696B"/>
        <color rgb="FFFFEB84"/>
        <color rgb="FF63BE7B"/>
      </colorScale>
    </cfRule>
  </conditionalFormatting>
  <conditionalFormatting sqref="D43:N53">
    <cfRule type="colorScale" priority="1">
      <colorScale>
        <cfvo type="min"/>
        <cfvo type="num" val="1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4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V38"/>
  <sheetViews>
    <sheetView view="pageBreakPreview" zoomScaleNormal="85" zoomScaleSheetLayoutView="128" workbookViewId="0">
      <selection activeCell="B4" sqref="B4"/>
    </sheetView>
  </sheetViews>
  <sheetFormatPr defaultColWidth="8.85546875" defaultRowHeight="15" x14ac:dyDescent="0.25"/>
  <cols>
    <col min="1" max="1" width="9.42578125" customWidth="1"/>
    <col min="2" max="3" width="14.28515625" bestFit="1" customWidth="1"/>
    <col min="4" max="4" width="13.42578125" customWidth="1"/>
    <col min="5" max="5" width="11.140625" customWidth="1"/>
    <col min="6" max="6" width="12" customWidth="1"/>
    <col min="8" max="8" width="12" customWidth="1"/>
    <col min="9" max="9" width="14" customWidth="1"/>
    <col min="10" max="10" width="14.85546875" customWidth="1"/>
    <col min="11" max="11" width="13.42578125" customWidth="1"/>
    <col min="12" max="12" width="13.42578125" bestFit="1" customWidth="1"/>
    <col min="13" max="13" width="13.85546875" customWidth="1"/>
    <col min="14" max="14" width="17.28515625" bestFit="1" customWidth="1"/>
    <col min="15" max="15" width="15.7109375" bestFit="1" customWidth="1"/>
    <col min="16" max="16" width="15.140625" bestFit="1" customWidth="1"/>
    <col min="17" max="17" width="14.7109375" customWidth="1"/>
    <col min="18" max="18" width="14" customWidth="1"/>
    <col min="19" max="19" width="14.42578125" customWidth="1"/>
    <col min="20" max="20" width="17.28515625" bestFit="1" customWidth="1"/>
    <col min="21" max="21" width="15.7109375" bestFit="1" customWidth="1"/>
    <col min="22" max="22" width="15.42578125" customWidth="1"/>
  </cols>
  <sheetData>
    <row r="1" spans="1:22" ht="15.75" customHeight="1" thickBot="1" x14ac:dyDescent="0.3">
      <c r="A1" s="18"/>
      <c r="B1" s="645" t="s">
        <v>44</v>
      </c>
      <c r="C1" s="646"/>
      <c r="D1" s="647"/>
      <c r="E1" s="645" t="s">
        <v>45</v>
      </c>
      <c r="F1" s="646"/>
      <c r="G1" s="646"/>
      <c r="H1" s="646"/>
      <c r="I1" s="646"/>
      <c r="J1" s="646"/>
      <c r="K1" s="646"/>
      <c r="L1" s="646"/>
      <c r="M1" s="646"/>
      <c r="N1" s="646"/>
      <c r="O1" s="646"/>
      <c r="P1" s="647"/>
      <c r="Q1" s="648" t="s">
        <v>46</v>
      </c>
      <c r="R1" s="649"/>
      <c r="S1" s="649"/>
      <c r="T1" s="649"/>
      <c r="U1" s="649"/>
      <c r="V1" s="650"/>
    </row>
    <row r="2" spans="1:22" ht="24" customHeight="1" x14ac:dyDescent="0.25">
      <c r="A2" s="8"/>
      <c r="B2" s="648" t="s">
        <v>47</v>
      </c>
      <c r="C2" s="649"/>
      <c r="D2" s="650"/>
      <c r="E2" s="663" t="s">
        <v>48</v>
      </c>
      <c r="F2" s="664"/>
      <c r="G2" s="665"/>
      <c r="H2" s="666" t="s">
        <v>49</v>
      </c>
      <c r="I2" s="664"/>
      <c r="J2" s="665"/>
      <c r="K2" s="666" t="s">
        <v>50</v>
      </c>
      <c r="L2" s="664"/>
      <c r="M2" s="665"/>
      <c r="N2" s="666" t="s">
        <v>190</v>
      </c>
      <c r="O2" s="664"/>
      <c r="P2" s="667"/>
      <c r="Q2" s="649" t="s">
        <v>17</v>
      </c>
      <c r="R2" s="649"/>
      <c r="S2" s="650"/>
      <c r="T2" s="649" t="s">
        <v>18</v>
      </c>
      <c r="U2" s="649"/>
      <c r="V2" s="650"/>
    </row>
    <row r="3" spans="1:22" ht="18.600000000000001" customHeight="1" thickBot="1" x14ac:dyDescent="0.3">
      <c r="A3" s="19" t="s">
        <v>23</v>
      </c>
      <c r="B3" s="23" t="s">
        <v>227</v>
      </c>
      <c r="C3" s="20" t="s">
        <v>168</v>
      </c>
      <c r="D3" s="24" t="s">
        <v>24</v>
      </c>
      <c r="E3" s="14" t="s">
        <v>227</v>
      </c>
      <c r="F3" s="15" t="s">
        <v>168</v>
      </c>
      <c r="G3" s="22" t="s">
        <v>24</v>
      </c>
      <c r="H3" s="21" t="s">
        <v>227</v>
      </c>
      <c r="I3" s="15" t="s">
        <v>168</v>
      </c>
      <c r="J3" s="22" t="s">
        <v>24</v>
      </c>
      <c r="K3" s="21" t="s">
        <v>227</v>
      </c>
      <c r="L3" s="15" t="s">
        <v>168</v>
      </c>
      <c r="M3" s="22" t="s">
        <v>24</v>
      </c>
      <c r="N3" s="21" t="s">
        <v>227</v>
      </c>
      <c r="O3" s="15" t="s">
        <v>168</v>
      </c>
      <c r="P3" s="16" t="s">
        <v>24</v>
      </c>
      <c r="Q3" s="15" t="s">
        <v>227</v>
      </c>
      <c r="R3" s="15" t="s">
        <v>168</v>
      </c>
      <c r="S3" s="16" t="s">
        <v>24</v>
      </c>
      <c r="T3" s="15" t="s">
        <v>227</v>
      </c>
      <c r="U3" s="15" t="s">
        <v>168</v>
      </c>
      <c r="V3" s="16" t="s">
        <v>24</v>
      </c>
    </row>
    <row r="4" spans="1:22" x14ac:dyDescent="0.25">
      <c r="A4" s="32" t="s">
        <v>25</v>
      </c>
      <c r="B4" s="27">
        <f>'Parametre - Agendové IS'!D117</f>
        <v>0</v>
      </c>
      <c r="C4" s="27">
        <f>'Parametre - Agendové IS'!E117</f>
        <v>0</v>
      </c>
      <c r="D4" s="29">
        <f>IF(ISERR(C4-B4),"-",C4-B4)</f>
        <v>0</v>
      </c>
      <c r="E4" s="359"/>
      <c r="F4" s="360"/>
      <c r="G4" s="34">
        <f t="shared" ref="G4:G13" si="0">IF(ISERR(F4-E4),"-",F4-E4)</f>
        <v>0</v>
      </c>
      <c r="H4" s="30">
        <v>0</v>
      </c>
      <c r="I4" s="26">
        <f>'Parametre - Agendové IS'!E97</f>
        <v>0</v>
      </c>
      <c r="J4" s="34">
        <f>IF(ISERR(I4-H4),"-",I4-H4)</f>
        <v>0</v>
      </c>
      <c r="K4" s="27">
        <f>'Parametre - Agendové IS'!D127</f>
        <v>0</v>
      </c>
      <c r="L4" s="27">
        <f>'Parametre - Agendové IS'!E127</f>
        <v>0</v>
      </c>
      <c r="M4" s="29">
        <f>IF(ISERR(L4-K4),"-",L4-K4)</f>
        <v>0</v>
      </c>
      <c r="N4" s="26">
        <f>-'Parametre - Agendové IS'!D77</f>
        <v>-3966288.6315647508</v>
      </c>
      <c r="O4" s="26">
        <f>-'Parametre - Agendové IS'!E77</f>
        <v>-2074818.3116505747</v>
      </c>
      <c r="P4" s="34">
        <f t="shared" ref="P4:P13" si="1">IF(ISERR(O4-N4),"-",O4-N4)</f>
        <v>1891470.3199141761</v>
      </c>
      <c r="Q4" s="27">
        <f>SUM(B4,E4)</f>
        <v>0</v>
      </c>
      <c r="R4" s="26">
        <f t="shared" ref="R4:R13" si="2">SUM(C4,F4)</f>
        <v>0</v>
      </c>
      <c r="S4" s="29">
        <f>R4-Q4</f>
        <v>0</v>
      </c>
      <c r="T4" s="27">
        <f>SUM(H4,K4,N4)</f>
        <v>-3966288.6315647508</v>
      </c>
      <c r="U4" s="26">
        <f>SUM(I4,L4,O4)</f>
        <v>-2074818.3116505747</v>
      </c>
      <c r="V4" s="29">
        <f>U4-T4</f>
        <v>1891470.3199141761</v>
      </c>
    </row>
    <row r="5" spans="1:22" x14ac:dyDescent="0.25">
      <c r="A5" s="33" t="s">
        <v>26</v>
      </c>
      <c r="B5" s="27">
        <f>'Parametre - Agendové IS'!D118</f>
        <v>0</v>
      </c>
      <c r="C5" s="27">
        <f>'Parametre - Agendové IS'!E118</f>
        <v>0</v>
      </c>
      <c r="D5" s="29">
        <f t="shared" ref="D5:D13" si="3">IF(ISERR(C5-B5),"-",C5-B5)</f>
        <v>0</v>
      </c>
      <c r="E5" s="359"/>
      <c r="F5" s="360"/>
      <c r="G5" s="29">
        <f t="shared" si="0"/>
        <v>0</v>
      </c>
      <c r="H5" s="30">
        <v>0</v>
      </c>
      <c r="I5" s="26">
        <f>'Parametre - Agendové IS'!E98</f>
        <v>0</v>
      </c>
      <c r="J5" s="145">
        <f>IF(ISERR(I5-H5),"-",I5-H5)</f>
        <v>0</v>
      </c>
      <c r="K5" s="27">
        <f>'Parametre - Agendové IS'!D128</f>
        <v>0</v>
      </c>
      <c r="L5" s="27">
        <f>'Parametre - Agendové IS'!E128</f>
        <v>0</v>
      </c>
      <c r="M5" s="29">
        <f t="shared" ref="M5:M13" si="4">IF(ISERR(L5-K5),"-",L5-K5)</f>
        <v>0</v>
      </c>
      <c r="N5" s="26">
        <f>-'Parametre - Agendové IS'!D78</f>
        <v>-3971789.0713168429</v>
      </c>
      <c r="O5" s="26">
        <f>-'Parametre - Agendové IS'!E78</f>
        <v>-2079402.0114439847</v>
      </c>
      <c r="P5" s="29">
        <f t="shared" si="1"/>
        <v>1892387.0598728582</v>
      </c>
      <c r="Q5" s="27">
        <f t="shared" ref="Q5:Q13" si="5">SUM(B5,E5)</f>
        <v>0</v>
      </c>
      <c r="R5" s="26">
        <f t="shared" si="2"/>
        <v>0</v>
      </c>
      <c r="S5" s="29">
        <f t="shared" ref="S5:S12" si="6">R5-Q5</f>
        <v>0</v>
      </c>
      <c r="T5" s="27">
        <f t="shared" ref="T5:U13" si="7">SUM(H5,K5,N5)</f>
        <v>-3971789.0713168429</v>
      </c>
      <c r="U5" s="26">
        <f t="shared" si="7"/>
        <v>-2079402.0114439847</v>
      </c>
      <c r="V5" s="29">
        <f t="shared" ref="V5:V13" si="8">U5-T5</f>
        <v>1892387.0598728582</v>
      </c>
    </row>
    <row r="6" spans="1:22" x14ac:dyDescent="0.25">
      <c r="A6" s="33" t="s">
        <v>27</v>
      </c>
      <c r="B6" s="27">
        <f>'Parametre - Agendové IS'!D119</f>
        <v>0</v>
      </c>
      <c r="C6" s="27">
        <f>'Parametre - Agendové IS'!E119</f>
        <v>0</v>
      </c>
      <c r="D6" s="29">
        <f t="shared" si="3"/>
        <v>0</v>
      </c>
      <c r="E6" s="359"/>
      <c r="F6" s="360"/>
      <c r="G6" s="29">
        <f t="shared" si="0"/>
        <v>0</v>
      </c>
      <c r="H6" s="30">
        <v>0</v>
      </c>
      <c r="I6" s="26">
        <f>'Parametre - Agendové IS'!E99</f>
        <v>0</v>
      </c>
      <c r="J6" s="29">
        <f t="shared" ref="J6:J13" si="9">IF(ISERR(I6-H6),"-",I6-H6)</f>
        <v>0</v>
      </c>
      <c r="K6" s="27">
        <f>'Parametre - Agendové IS'!D129</f>
        <v>0</v>
      </c>
      <c r="L6" s="27">
        <f>'Parametre - Agendové IS'!E129</f>
        <v>0</v>
      </c>
      <c r="M6" s="29">
        <f t="shared" si="4"/>
        <v>0</v>
      </c>
      <c r="N6" s="26">
        <f>-'Parametre - Agendové IS'!D79</f>
        <v>-3977399.5198639766</v>
      </c>
      <c r="O6" s="26">
        <f>-'Parametre - Agendové IS'!E79</f>
        <v>-2084077.3852332628</v>
      </c>
      <c r="P6" s="29">
        <f t="shared" si="1"/>
        <v>1893322.1346307138</v>
      </c>
      <c r="Q6" s="27">
        <f t="shared" si="5"/>
        <v>0</v>
      </c>
      <c r="R6" s="26">
        <f t="shared" si="2"/>
        <v>0</v>
      </c>
      <c r="S6" s="29">
        <f t="shared" si="6"/>
        <v>0</v>
      </c>
      <c r="T6" s="27">
        <f t="shared" si="7"/>
        <v>-3977399.5198639766</v>
      </c>
      <c r="U6" s="26">
        <f t="shared" si="7"/>
        <v>-2084077.3852332628</v>
      </c>
      <c r="V6" s="29">
        <f t="shared" si="8"/>
        <v>1893322.1346307138</v>
      </c>
    </row>
    <row r="7" spans="1:22" x14ac:dyDescent="0.25">
      <c r="A7" s="33" t="s">
        <v>28</v>
      </c>
      <c r="B7" s="27">
        <f>'Parametre - Agendové IS'!D120</f>
        <v>0</v>
      </c>
      <c r="C7" s="27">
        <f>'Parametre - Agendové IS'!E120</f>
        <v>0</v>
      </c>
      <c r="D7" s="29">
        <f t="shared" si="3"/>
        <v>0</v>
      </c>
      <c r="E7" s="359"/>
      <c r="F7" s="360"/>
      <c r="G7" s="29">
        <f t="shared" si="0"/>
        <v>0</v>
      </c>
      <c r="H7" s="30">
        <v>0</v>
      </c>
      <c r="I7" s="26">
        <f>'Parametre - Agendové IS'!E100</f>
        <v>0</v>
      </c>
      <c r="J7" s="29">
        <f t="shared" si="9"/>
        <v>0</v>
      </c>
      <c r="K7" s="27">
        <f>'Parametre - Agendové IS'!D130</f>
        <v>0</v>
      </c>
      <c r="L7" s="27">
        <f>'Parametre - Agendové IS'!E130</f>
        <v>0</v>
      </c>
      <c r="M7" s="29">
        <f t="shared" si="4"/>
        <v>0</v>
      </c>
      <c r="N7" s="26">
        <f>-'Parametre - Agendové IS'!D80</f>
        <v>0</v>
      </c>
      <c r="O7" s="26">
        <f>-'Parametre - Agendové IS'!E80</f>
        <v>0</v>
      </c>
      <c r="P7" s="29">
        <f t="shared" si="1"/>
        <v>0</v>
      </c>
      <c r="Q7" s="27">
        <f t="shared" si="5"/>
        <v>0</v>
      </c>
      <c r="R7" s="26">
        <f t="shared" si="2"/>
        <v>0</v>
      </c>
      <c r="S7" s="29">
        <f t="shared" si="6"/>
        <v>0</v>
      </c>
      <c r="T7" s="27">
        <f t="shared" si="7"/>
        <v>0</v>
      </c>
      <c r="U7" s="26">
        <f t="shared" si="7"/>
        <v>0</v>
      </c>
      <c r="V7" s="29">
        <f t="shared" si="8"/>
        <v>0</v>
      </c>
    </row>
    <row r="8" spans="1:22" x14ac:dyDescent="0.25">
      <c r="A8" s="33" t="s">
        <v>29</v>
      </c>
      <c r="B8" s="27">
        <f>'Parametre - Agendové IS'!D121</f>
        <v>0</v>
      </c>
      <c r="C8" s="27">
        <f>'Parametre - Agendové IS'!E121</f>
        <v>0</v>
      </c>
      <c r="D8" s="29">
        <f t="shared" si="3"/>
        <v>0</v>
      </c>
      <c r="E8" s="359"/>
      <c r="F8" s="360"/>
      <c r="G8" s="29">
        <f t="shared" si="0"/>
        <v>0</v>
      </c>
      <c r="H8" s="30">
        <v>0</v>
      </c>
      <c r="I8" s="26">
        <f>'Parametre - Agendové IS'!E101</f>
        <v>0</v>
      </c>
      <c r="J8" s="29">
        <f t="shared" si="9"/>
        <v>0</v>
      </c>
      <c r="K8" s="27">
        <f>'Parametre - Agendové IS'!D131</f>
        <v>0</v>
      </c>
      <c r="L8" s="27">
        <f>'Parametre - Agendové IS'!E131</f>
        <v>0</v>
      </c>
      <c r="M8" s="29">
        <f t="shared" si="4"/>
        <v>0</v>
      </c>
      <c r="N8" s="26">
        <f>-'Parametre - Agendové IS'!D81</f>
        <v>0</v>
      </c>
      <c r="O8" s="26">
        <f>-'Parametre - Agendové IS'!E81</f>
        <v>0</v>
      </c>
      <c r="P8" s="29">
        <f t="shared" si="1"/>
        <v>0</v>
      </c>
      <c r="Q8" s="27">
        <f t="shared" si="5"/>
        <v>0</v>
      </c>
      <c r="R8" s="26">
        <f t="shared" si="2"/>
        <v>0</v>
      </c>
      <c r="S8" s="29">
        <f t="shared" si="6"/>
        <v>0</v>
      </c>
      <c r="T8" s="27">
        <f t="shared" si="7"/>
        <v>0</v>
      </c>
      <c r="U8" s="26">
        <f t="shared" si="7"/>
        <v>0</v>
      </c>
      <c r="V8" s="29">
        <f t="shared" si="8"/>
        <v>0</v>
      </c>
    </row>
    <row r="9" spans="1:22" x14ac:dyDescent="0.25">
      <c r="A9" s="33" t="s">
        <v>30</v>
      </c>
      <c r="B9" s="27">
        <f>'Parametre - Agendové IS'!D122</f>
        <v>0</v>
      </c>
      <c r="C9" s="27">
        <f>'Parametre - Agendové IS'!E122</f>
        <v>0</v>
      </c>
      <c r="D9" s="29">
        <f t="shared" si="3"/>
        <v>0</v>
      </c>
      <c r="E9" s="359"/>
      <c r="F9" s="360"/>
      <c r="G9" s="29">
        <f t="shared" si="0"/>
        <v>0</v>
      </c>
      <c r="H9" s="30">
        <v>0</v>
      </c>
      <c r="I9" s="26">
        <f>'Parametre - Agendové IS'!E102</f>
        <v>0</v>
      </c>
      <c r="J9" s="29">
        <f t="shared" si="9"/>
        <v>0</v>
      </c>
      <c r="K9" s="27">
        <f>'Parametre - Agendové IS'!D132</f>
        <v>0</v>
      </c>
      <c r="L9" s="27">
        <f>'Parametre - Agendové IS'!E132</f>
        <v>0</v>
      </c>
      <c r="M9" s="29">
        <f t="shared" si="4"/>
        <v>0</v>
      </c>
      <c r="N9" s="26">
        <f>-'Parametre - Agendové IS'!D82</f>
        <v>0</v>
      </c>
      <c r="O9" s="26">
        <f>-'Parametre - Agendové IS'!E82</f>
        <v>0</v>
      </c>
      <c r="P9" s="29">
        <f t="shared" si="1"/>
        <v>0</v>
      </c>
      <c r="Q9" s="27">
        <f t="shared" si="5"/>
        <v>0</v>
      </c>
      <c r="R9" s="26">
        <f t="shared" si="2"/>
        <v>0</v>
      </c>
      <c r="S9" s="29">
        <f t="shared" si="6"/>
        <v>0</v>
      </c>
      <c r="T9" s="27">
        <f t="shared" si="7"/>
        <v>0</v>
      </c>
      <c r="U9" s="26">
        <f t="shared" si="7"/>
        <v>0</v>
      </c>
      <c r="V9" s="29">
        <f t="shared" si="8"/>
        <v>0</v>
      </c>
    </row>
    <row r="10" spans="1:22" x14ac:dyDescent="0.25">
      <c r="A10" s="33" t="s">
        <v>31</v>
      </c>
      <c r="B10" s="27">
        <f>'Parametre - Agendové IS'!D123</f>
        <v>0</v>
      </c>
      <c r="C10" s="27">
        <f>'Parametre - Agendové IS'!E123</f>
        <v>0</v>
      </c>
      <c r="D10" s="29">
        <f t="shared" si="3"/>
        <v>0</v>
      </c>
      <c r="E10" s="359"/>
      <c r="F10" s="360"/>
      <c r="G10" s="29">
        <f t="shared" si="0"/>
        <v>0</v>
      </c>
      <c r="H10" s="30">
        <v>0</v>
      </c>
      <c r="I10" s="26">
        <f>'Parametre - Agendové IS'!E103</f>
        <v>0</v>
      </c>
      <c r="J10" s="29">
        <f t="shared" si="9"/>
        <v>0</v>
      </c>
      <c r="K10" s="27">
        <f>'Parametre - Agendové IS'!D133</f>
        <v>0</v>
      </c>
      <c r="L10" s="27">
        <f>'Parametre - Agendové IS'!E133</f>
        <v>0</v>
      </c>
      <c r="M10" s="29">
        <f t="shared" si="4"/>
        <v>0</v>
      </c>
      <c r="N10" s="26">
        <f>-'Parametre - Agendové IS'!D83</f>
        <v>0</v>
      </c>
      <c r="O10" s="26">
        <f>-'Parametre - Agendové IS'!E83</f>
        <v>0</v>
      </c>
      <c r="P10" s="29">
        <f t="shared" si="1"/>
        <v>0</v>
      </c>
      <c r="Q10" s="27">
        <f t="shared" si="5"/>
        <v>0</v>
      </c>
      <c r="R10" s="26">
        <f t="shared" si="2"/>
        <v>0</v>
      </c>
      <c r="S10" s="29">
        <f t="shared" si="6"/>
        <v>0</v>
      </c>
      <c r="T10" s="27">
        <f t="shared" si="7"/>
        <v>0</v>
      </c>
      <c r="U10" s="26">
        <f t="shared" si="7"/>
        <v>0</v>
      </c>
      <c r="V10" s="29">
        <f t="shared" si="8"/>
        <v>0</v>
      </c>
    </row>
    <row r="11" spans="1:22" x14ac:dyDescent="0.25">
      <c r="A11" s="33" t="s">
        <v>32</v>
      </c>
      <c r="B11" s="27">
        <f>'Parametre - Agendové IS'!D124</f>
        <v>0</v>
      </c>
      <c r="C11" s="27">
        <f>'Parametre - Agendové IS'!E124</f>
        <v>0</v>
      </c>
      <c r="D11" s="29">
        <f t="shared" si="3"/>
        <v>0</v>
      </c>
      <c r="E11" s="359"/>
      <c r="F11" s="360"/>
      <c r="G11" s="29">
        <f t="shared" si="0"/>
        <v>0</v>
      </c>
      <c r="H11" s="30">
        <v>0</v>
      </c>
      <c r="I11" s="26">
        <f>'Parametre - Agendové IS'!E104</f>
        <v>0</v>
      </c>
      <c r="J11" s="29">
        <f t="shared" si="9"/>
        <v>0</v>
      </c>
      <c r="K11" s="27">
        <f>'Parametre - Agendové IS'!D134</f>
        <v>0</v>
      </c>
      <c r="L11" s="27">
        <f>'Parametre - Agendové IS'!E134</f>
        <v>0</v>
      </c>
      <c r="M11" s="29">
        <f t="shared" si="4"/>
        <v>0</v>
      </c>
      <c r="N11" s="26">
        <f>-'Parametre - Agendové IS'!D84</f>
        <v>0</v>
      </c>
      <c r="O11" s="26">
        <f>-'Parametre - Agendové IS'!E84</f>
        <v>0</v>
      </c>
      <c r="P11" s="29">
        <f t="shared" si="1"/>
        <v>0</v>
      </c>
      <c r="Q11" s="27">
        <f t="shared" si="5"/>
        <v>0</v>
      </c>
      <c r="R11" s="26">
        <f t="shared" si="2"/>
        <v>0</v>
      </c>
      <c r="S11" s="29">
        <f t="shared" si="6"/>
        <v>0</v>
      </c>
      <c r="T11" s="27">
        <f t="shared" si="7"/>
        <v>0</v>
      </c>
      <c r="U11" s="26">
        <f t="shared" si="7"/>
        <v>0</v>
      </c>
      <c r="V11" s="29">
        <f t="shared" si="8"/>
        <v>0</v>
      </c>
    </row>
    <row r="12" spans="1:22" x14ac:dyDescent="0.25">
      <c r="A12" s="33" t="s">
        <v>33</v>
      </c>
      <c r="B12" s="27">
        <f>'Parametre - Agendové IS'!D125</f>
        <v>0</v>
      </c>
      <c r="C12" s="27">
        <f>'Parametre - Agendové IS'!E125</f>
        <v>0</v>
      </c>
      <c r="D12" s="29">
        <f t="shared" si="3"/>
        <v>0</v>
      </c>
      <c r="E12" s="359"/>
      <c r="F12" s="360"/>
      <c r="G12" s="29">
        <f t="shared" si="0"/>
        <v>0</v>
      </c>
      <c r="H12" s="30">
        <v>0</v>
      </c>
      <c r="I12" s="26">
        <f>'Parametre - Agendové IS'!E105</f>
        <v>0</v>
      </c>
      <c r="J12" s="29">
        <f t="shared" si="9"/>
        <v>0</v>
      </c>
      <c r="K12" s="27">
        <f>'Parametre - Agendové IS'!D135</f>
        <v>0</v>
      </c>
      <c r="L12" s="27">
        <f>'Parametre - Agendové IS'!E135</f>
        <v>0</v>
      </c>
      <c r="M12" s="29">
        <f t="shared" si="4"/>
        <v>0</v>
      </c>
      <c r="N12" s="26">
        <f>-'Parametre - Agendové IS'!D85</f>
        <v>0</v>
      </c>
      <c r="O12" s="26">
        <f>-'Parametre - Agendové IS'!E85</f>
        <v>0</v>
      </c>
      <c r="P12" s="29">
        <f t="shared" si="1"/>
        <v>0</v>
      </c>
      <c r="Q12" s="27">
        <f t="shared" si="5"/>
        <v>0</v>
      </c>
      <c r="R12" s="26">
        <f t="shared" si="2"/>
        <v>0</v>
      </c>
      <c r="S12" s="29">
        <f t="shared" si="6"/>
        <v>0</v>
      </c>
      <c r="T12" s="27">
        <f t="shared" si="7"/>
        <v>0</v>
      </c>
      <c r="U12" s="26">
        <f t="shared" si="7"/>
        <v>0</v>
      </c>
      <c r="V12" s="29">
        <f t="shared" si="8"/>
        <v>0</v>
      </c>
    </row>
    <row r="13" spans="1:22" ht="15.6" customHeight="1" thickBot="1" x14ac:dyDescent="0.3">
      <c r="A13" s="33" t="s">
        <v>34</v>
      </c>
      <c r="B13" s="47">
        <f>'Parametre - Agendové IS'!D126</f>
        <v>0</v>
      </c>
      <c r="C13" s="47">
        <f>'Parametre - Agendové IS'!E126</f>
        <v>0</v>
      </c>
      <c r="D13" s="166">
        <f t="shared" si="3"/>
        <v>0</v>
      </c>
      <c r="E13" s="361"/>
      <c r="F13" s="362"/>
      <c r="G13" s="166">
        <f t="shared" si="0"/>
        <v>0</v>
      </c>
      <c r="H13" s="30">
        <v>0</v>
      </c>
      <c r="I13" s="43">
        <f>'Parametre - Agendové IS'!E106</f>
        <v>0</v>
      </c>
      <c r="J13" s="166">
        <f t="shared" si="9"/>
        <v>0</v>
      </c>
      <c r="K13" s="47">
        <f>'Parametre - Agendové IS'!D136</f>
        <v>0</v>
      </c>
      <c r="L13" s="47">
        <f>'Parametre - Agendové IS'!E136</f>
        <v>0</v>
      </c>
      <c r="M13" s="166">
        <f t="shared" si="4"/>
        <v>0</v>
      </c>
      <c r="N13" s="43">
        <f>-'Parametre - Agendové IS'!D86</f>
        <v>0</v>
      </c>
      <c r="O13" s="43">
        <f>-'Parametre - Agendové IS'!E86</f>
        <v>0</v>
      </c>
      <c r="P13" s="43">
        <f t="shared" si="1"/>
        <v>0</v>
      </c>
      <c r="Q13" s="169">
        <f t="shared" si="5"/>
        <v>0</v>
      </c>
      <c r="R13" s="43">
        <f t="shared" si="2"/>
        <v>0</v>
      </c>
      <c r="S13" s="166">
        <f>R13-Q13</f>
        <v>0</v>
      </c>
      <c r="T13" s="47">
        <f t="shared" si="7"/>
        <v>0</v>
      </c>
      <c r="U13" s="43">
        <f t="shared" si="7"/>
        <v>0</v>
      </c>
      <c r="V13" s="166">
        <f t="shared" si="8"/>
        <v>0</v>
      </c>
    </row>
    <row r="14" spans="1:22" x14ac:dyDescent="0.25">
      <c r="A14" s="170" t="s">
        <v>105</v>
      </c>
      <c r="B14" s="531">
        <f>SUM(B4:B13)</f>
        <v>0</v>
      </c>
      <c r="C14" s="531">
        <f t="shared" ref="C14:P14" si="10">SUM(C4:C13)</f>
        <v>0</v>
      </c>
      <c r="D14" s="532">
        <f t="shared" si="10"/>
        <v>0</v>
      </c>
      <c r="E14" s="531">
        <f t="shared" si="10"/>
        <v>0</v>
      </c>
      <c r="F14" s="533">
        <f t="shared" si="10"/>
        <v>0</v>
      </c>
      <c r="G14" s="532">
        <f t="shared" si="10"/>
        <v>0</v>
      </c>
      <c r="H14" s="531">
        <f t="shared" si="10"/>
        <v>0</v>
      </c>
      <c r="I14" s="533">
        <f t="shared" si="10"/>
        <v>0</v>
      </c>
      <c r="J14" s="532">
        <f t="shared" si="10"/>
        <v>0</v>
      </c>
      <c r="K14" s="531">
        <f t="shared" si="10"/>
        <v>0</v>
      </c>
      <c r="L14" s="531">
        <f t="shared" si="10"/>
        <v>0</v>
      </c>
      <c r="M14" s="532">
        <f t="shared" si="10"/>
        <v>0</v>
      </c>
      <c r="N14" s="533">
        <f t="shared" si="10"/>
        <v>-11915477.222745569</v>
      </c>
      <c r="O14" s="533">
        <f t="shared" si="10"/>
        <v>-6238297.7083278224</v>
      </c>
      <c r="P14" s="534">
        <f t="shared" si="10"/>
        <v>5677179.514417748</v>
      </c>
      <c r="Q14" s="535">
        <f t="shared" ref="Q14:V14" si="11">SUM(Q4:Q13)</f>
        <v>0</v>
      </c>
      <c r="R14" s="533">
        <f t="shared" si="11"/>
        <v>0</v>
      </c>
      <c r="S14" s="536">
        <f t="shared" si="11"/>
        <v>0</v>
      </c>
      <c r="T14" s="535">
        <f t="shared" si="11"/>
        <v>-11915477.222745569</v>
      </c>
      <c r="U14" s="533">
        <f t="shared" si="11"/>
        <v>-6238297.7083278224</v>
      </c>
      <c r="V14" s="537">
        <f t="shared" si="11"/>
        <v>5677179.514417748</v>
      </c>
    </row>
    <row r="15" spans="1:22" ht="15.75" thickBot="1" x14ac:dyDescent="0.3">
      <c r="A15" s="171" t="s">
        <v>158</v>
      </c>
      <c r="B15" s="538"/>
      <c r="C15" s="538"/>
      <c r="D15" s="539">
        <f>D4+NPV(Faktory!$D$5,'Prínosy - Agendové IS'!D5:D13)</f>
        <v>0</v>
      </c>
      <c r="E15" s="540"/>
      <c r="F15" s="541"/>
      <c r="G15" s="539">
        <f>G4+NPV(Faktory!$D$3,'Prínosy - Agendové IS'!G5:G13)</f>
        <v>0</v>
      </c>
      <c r="H15" s="540"/>
      <c r="I15" s="541"/>
      <c r="J15" s="539">
        <f>J4+NPV(Faktory!$D$5,'Prínosy - Agendové IS'!J5:J13)</f>
        <v>0</v>
      </c>
      <c r="K15" s="538"/>
      <c r="L15" s="538"/>
      <c r="M15" s="539">
        <f>M4+NPV(Faktory!$D$5,'Prínosy - Agendové IS'!M5:M13)</f>
        <v>0</v>
      </c>
      <c r="N15" s="541"/>
      <c r="O15" s="541"/>
      <c r="P15" s="542">
        <f>P4+NPV(Faktory!$D$5,'Prínosy - Agendové IS'!P5:P13)</f>
        <v>5411042.698596457</v>
      </c>
      <c r="Q15" s="543"/>
      <c r="R15" s="541"/>
      <c r="S15" s="539">
        <f>S4+NPV(Faktory!$D$5,'Prínosy - Agendové IS'!S5:S13)</f>
        <v>0</v>
      </c>
      <c r="T15" s="543"/>
      <c r="U15" s="541"/>
      <c r="V15" s="539">
        <f>V4+NPV(Faktory!$D$5,'Prínosy - Agendové IS'!V5:V13)</f>
        <v>5411042.698596457</v>
      </c>
    </row>
    <row r="17" spans="2:2" x14ac:dyDescent="0.25">
      <c r="B17" s="106" t="s">
        <v>171</v>
      </c>
    </row>
    <row r="38" spans="15:15" x14ac:dyDescent="0.25">
      <c r="O38" s="168"/>
    </row>
  </sheetData>
  <protectedRanges>
    <protectedRange algorithmName="SHA-512" hashValue="f4ycvS5NMakRYlpexdvZE7kc5B00PVZgCpNS64jzUJaJceYSE+aleudxwPGxr22CZo/5IZ2uTHVQQMolnN60/A==" saltValue="c0KVc6r/LTYq/uhy9236YA==" spinCount="100000" sqref="E2:G15" name="Rozsah1"/>
  </protectedRanges>
  <mergeCells count="10">
    <mergeCell ref="B1:D1"/>
    <mergeCell ref="Q1:V1"/>
    <mergeCell ref="B2:D2"/>
    <mergeCell ref="E2:G2"/>
    <mergeCell ref="H2:J2"/>
    <mergeCell ref="K2:M2"/>
    <mergeCell ref="Q2:S2"/>
    <mergeCell ref="T2:V2"/>
    <mergeCell ref="N2:P2"/>
    <mergeCell ref="E1:P1"/>
  </mergeCells>
  <phoneticPr fontId="74" type="noConversion"/>
  <pageMargins left="0.7" right="0.7" top="0.75" bottom="0.75" header="0.3" footer="0.3"/>
  <pageSetup paperSize="9" scale="2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view="pageBreakPreview" zoomScale="127" zoomScaleNormal="80" zoomScaleSheetLayoutView="127" workbookViewId="0">
      <selection activeCell="L35" sqref="L35"/>
    </sheetView>
  </sheetViews>
  <sheetFormatPr defaultColWidth="8.85546875" defaultRowHeight="15" x14ac:dyDescent="0.25"/>
  <cols>
    <col min="2" max="2" width="14.28515625" customWidth="1"/>
    <col min="3" max="3" width="15.85546875" bestFit="1" customWidth="1"/>
    <col min="4" max="4" width="16.7109375" bestFit="1" customWidth="1"/>
    <col min="5" max="6" width="13.42578125" bestFit="1" customWidth="1"/>
    <col min="7" max="7" width="16.7109375" bestFit="1" customWidth="1"/>
    <col min="8" max="8" width="14.42578125" bestFit="1" customWidth="1"/>
    <col min="9" max="9" width="13.42578125" bestFit="1" customWidth="1"/>
    <col min="10" max="10" width="16.7109375" bestFit="1" customWidth="1"/>
    <col min="11" max="16" width="16.7109375" customWidth="1"/>
    <col min="17" max="17" width="13.42578125" bestFit="1" customWidth="1"/>
    <col min="18" max="18" width="15.85546875" bestFit="1" customWidth="1"/>
    <col min="19" max="19" width="15.28515625" customWidth="1"/>
    <col min="20" max="21" width="17" bestFit="1" customWidth="1"/>
    <col min="22" max="22" width="14.28515625" bestFit="1" customWidth="1"/>
  </cols>
  <sheetData>
    <row r="1" spans="1:23" ht="15.75" customHeight="1" thickBot="1" x14ac:dyDescent="0.3">
      <c r="A1" s="37"/>
      <c r="B1" s="669" t="s">
        <v>184</v>
      </c>
      <c r="C1" s="670"/>
      <c r="D1" s="670"/>
      <c r="E1" s="670"/>
      <c r="F1" s="670"/>
      <c r="G1" s="670"/>
      <c r="H1" s="670"/>
      <c r="I1" s="670"/>
      <c r="J1" s="670"/>
      <c r="K1" s="670"/>
      <c r="L1" s="670"/>
      <c r="M1" s="671"/>
      <c r="N1" s="669" t="s">
        <v>314</v>
      </c>
      <c r="O1" s="670"/>
      <c r="P1" s="671"/>
      <c r="Q1" s="668" t="s">
        <v>69</v>
      </c>
      <c r="R1" s="668"/>
      <c r="S1" s="668"/>
      <c r="T1" s="645" t="s">
        <v>70</v>
      </c>
      <c r="U1" s="646"/>
      <c r="V1" s="647"/>
    </row>
    <row r="2" spans="1:23" ht="15.75" customHeight="1" thickBot="1" x14ac:dyDescent="0.3">
      <c r="A2" s="8"/>
      <c r="B2" s="646" t="s">
        <v>66</v>
      </c>
      <c r="C2" s="646"/>
      <c r="D2" s="647"/>
      <c r="E2" s="646" t="s">
        <v>67</v>
      </c>
      <c r="F2" s="646"/>
      <c r="G2" s="647"/>
      <c r="H2" s="646" t="s">
        <v>107</v>
      </c>
      <c r="I2" s="646"/>
      <c r="J2" s="647"/>
      <c r="K2" s="646" t="s">
        <v>348</v>
      </c>
      <c r="L2" s="646"/>
      <c r="M2" s="647"/>
      <c r="N2" s="646"/>
      <c r="O2" s="646"/>
      <c r="P2" s="647"/>
      <c r="Q2" s="646" t="s">
        <v>68</v>
      </c>
      <c r="R2" s="646"/>
      <c r="S2" s="647"/>
      <c r="T2" s="8"/>
      <c r="U2" s="8"/>
      <c r="V2" s="38"/>
    </row>
    <row r="3" spans="1:23" ht="19.350000000000001" customHeight="1" thickBot="1" x14ac:dyDescent="0.3">
      <c r="A3" s="40" t="s">
        <v>23</v>
      </c>
      <c r="B3" s="41" t="s">
        <v>227</v>
      </c>
      <c r="C3" s="41" t="s">
        <v>168</v>
      </c>
      <c r="D3" s="42" t="s">
        <v>24</v>
      </c>
      <c r="E3" s="41" t="s">
        <v>227</v>
      </c>
      <c r="F3" s="41" t="s">
        <v>168</v>
      </c>
      <c r="G3" s="42" t="s">
        <v>24</v>
      </c>
      <c r="H3" s="41" t="s">
        <v>227</v>
      </c>
      <c r="I3" s="41" t="s">
        <v>168</v>
      </c>
      <c r="J3" s="42" t="s">
        <v>24</v>
      </c>
      <c r="K3" s="41" t="s">
        <v>227</v>
      </c>
      <c r="L3" s="41" t="s">
        <v>168</v>
      </c>
      <c r="M3" s="42" t="s">
        <v>24</v>
      </c>
      <c r="N3" s="41" t="s">
        <v>227</v>
      </c>
      <c r="O3" s="41" t="s">
        <v>168</v>
      </c>
      <c r="P3" s="42" t="s">
        <v>24</v>
      </c>
      <c r="Q3" s="41" t="s">
        <v>227</v>
      </c>
      <c r="R3" s="41" t="s">
        <v>168</v>
      </c>
      <c r="S3" s="42" t="s">
        <v>24</v>
      </c>
      <c r="T3" s="41" t="s">
        <v>227</v>
      </c>
      <c r="U3" s="41" t="s">
        <v>168</v>
      </c>
      <c r="V3" s="42" t="s">
        <v>24</v>
      </c>
    </row>
    <row r="4" spans="1:23" x14ac:dyDescent="0.25">
      <c r="A4" s="25" t="s">
        <v>25</v>
      </c>
      <c r="B4" s="26">
        <f>TCO!D26+TCO!D27</f>
        <v>0</v>
      </c>
      <c r="C4" s="26">
        <f>(TCO!D$12*(1+$W$5))+TCO!D$13</f>
        <v>48000</v>
      </c>
      <c r="D4" s="34">
        <f>C4-B4</f>
        <v>48000</v>
      </c>
      <c r="E4" s="27">
        <f>TCO!D22+TCO!D23</f>
        <v>239448</v>
      </c>
      <c r="F4" s="26">
        <f>(TCO!D$7*(1+$W$5))+TCO!D$8</f>
        <v>1248000</v>
      </c>
      <c r="G4" s="34">
        <f>F4-E4</f>
        <v>1008552</v>
      </c>
      <c r="H4" s="26">
        <f>TCO!D24+TCO!D25</f>
        <v>0</v>
      </c>
      <c r="I4" s="26">
        <f>(TCO!D$9*(1+$W$5))+TCO!D$10</f>
        <v>1056000</v>
      </c>
      <c r="J4" s="34">
        <f>I4-H4</f>
        <v>1056000</v>
      </c>
      <c r="K4" s="27">
        <v>0</v>
      </c>
      <c r="L4" s="27">
        <f>TCO!D11</f>
        <v>0</v>
      </c>
      <c r="M4" s="34">
        <f>L4-K4</f>
        <v>0</v>
      </c>
      <c r="N4" s="27">
        <v>0</v>
      </c>
      <c r="O4" s="27">
        <f>TCO!D14</f>
        <v>48000</v>
      </c>
      <c r="P4" s="34">
        <f>O4-N4</f>
        <v>48000</v>
      </c>
      <c r="Q4" s="27">
        <f>'Parametre - Agendové IS'!D107</f>
        <v>0</v>
      </c>
      <c r="R4" s="27">
        <f>'Parametre - Agendové IS'!E107</f>
        <v>0</v>
      </c>
      <c r="S4" s="34">
        <f t="shared" ref="S4:S13" si="0">IF(ISERR(R4-Q4),"-",R4-Q4)</f>
        <v>0</v>
      </c>
      <c r="T4" s="26">
        <f>SUM(B4,E4,H4,K4,N4,Q4)</f>
        <v>239448</v>
      </c>
      <c r="U4" s="26">
        <f>((C4+F4+L4+O4+I4)*(1+$W$4))+R4</f>
        <v>2400000</v>
      </c>
      <c r="V4" s="34">
        <f>U4-T4</f>
        <v>2160552</v>
      </c>
      <c r="W4" s="210">
        <f>'Analyza citlivosti - AgendovéIS'!B7</f>
        <v>0</v>
      </c>
    </row>
    <row r="5" spans="1:23" x14ac:dyDescent="0.25">
      <c r="A5" s="25" t="s">
        <v>26</v>
      </c>
      <c r="B5" s="26">
        <f>TCO!E26+TCO!E27</f>
        <v>0</v>
      </c>
      <c r="C5" s="26">
        <f>(TCO!E$12*(1+$W$5))+TCO!E$13</f>
        <v>48000</v>
      </c>
      <c r="D5" s="29">
        <f t="shared" ref="D5:D13" si="1">C5-B5</f>
        <v>48000</v>
      </c>
      <c r="E5" s="27">
        <f>TCO!E22+TCO!E23</f>
        <v>239448</v>
      </c>
      <c r="F5" s="26">
        <f>(TCO!E$7*(1+$W$5))+TCO!E$8</f>
        <v>346800</v>
      </c>
      <c r="G5" s="29">
        <f t="shared" ref="G5:G13" si="2">F5-E5</f>
        <v>107352</v>
      </c>
      <c r="H5" s="26">
        <f>TCO!E24+TCO!E25</f>
        <v>0</v>
      </c>
      <c r="I5" s="26">
        <f>(TCO!E$9*(1+$W$5))+TCO!E$10</f>
        <v>240000</v>
      </c>
      <c r="J5" s="29">
        <f t="shared" ref="J5:J13" si="3">I5-H5</f>
        <v>240000</v>
      </c>
      <c r="K5" s="27">
        <v>0</v>
      </c>
      <c r="L5" s="27">
        <f>TCO!E11</f>
        <v>0</v>
      </c>
      <c r="M5" s="29">
        <f t="shared" ref="M5:M13" si="4">L5-K5</f>
        <v>0</v>
      </c>
      <c r="N5" s="27">
        <v>0</v>
      </c>
      <c r="O5" s="27">
        <f>TCO!E14</f>
        <v>12000</v>
      </c>
      <c r="P5" s="29">
        <f t="shared" ref="P5:P13" si="5">O5-N5</f>
        <v>12000</v>
      </c>
      <c r="Q5" s="27">
        <f>'Parametre - Agendové IS'!D108</f>
        <v>0</v>
      </c>
      <c r="R5" s="27">
        <f>'Parametre - Agendové IS'!E108</f>
        <v>0</v>
      </c>
      <c r="S5" s="29">
        <f t="shared" si="0"/>
        <v>0</v>
      </c>
      <c r="T5" s="26">
        <f t="shared" ref="T5:T13" si="6">SUM(B5,E5,H5,K5,N5,Q5)</f>
        <v>239448</v>
      </c>
      <c r="U5" s="26">
        <f t="shared" ref="U5:U13" si="7">((C5+F5+L5+O5+I5)*(1+$W$4))+R5</f>
        <v>646800</v>
      </c>
      <c r="V5" s="29">
        <f t="shared" ref="V5:V13" si="8">U5-T5</f>
        <v>407352</v>
      </c>
      <c r="W5" s="210">
        <f>'Analyza citlivosti - AgendovéIS'!E7</f>
        <v>0</v>
      </c>
    </row>
    <row r="6" spans="1:23" x14ac:dyDescent="0.25">
      <c r="A6" s="25" t="s">
        <v>27</v>
      </c>
      <c r="B6" s="26">
        <f>TCO!F26+TCO!F27</f>
        <v>0</v>
      </c>
      <c r="C6" s="26">
        <f>(TCO!F$12*(1+$W$5))+TCO!F$13</f>
        <v>48000</v>
      </c>
      <c r="D6" s="29">
        <f t="shared" si="1"/>
        <v>48000</v>
      </c>
      <c r="E6" s="27">
        <f>TCO!F22+TCO!F23</f>
        <v>239448</v>
      </c>
      <c r="F6" s="26">
        <f>(TCO!F$7*(1+$W$5))+TCO!F$8</f>
        <v>346800</v>
      </c>
      <c r="G6" s="29">
        <f t="shared" si="2"/>
        <v>107352</v>
      </c>
      <c r="H6" s="26">
        <f>TCO!F24+TCO!F25</f>
        <v>0</v>
      </c>
      <c r="I6" s="26">
        <f>(TCO!F$9*(1+$W$5))+TCO!F$10</f>
        <v>144000</v>
      </c>
      <c r="J6" s="29">
        <f t="shared" si="3"/>
        <v>144000</v>
      </c>
      <c r="K6" s="27">
        <v>0</v>
      </c>
      <c r="L6" s="27">
        <f>TCO!F11</f>
        <v>0</v>
      </c>
      <c r="M6" s="29">
        <f t="shared" si="4"/>
        <v>0</v>
      </c>
      <c r="N6" s="27">
        <v>0</v>
      </c>
      <c r="O6" s="27">
        <f>TCO!F14</f>
        <v>12000</v>
      </c>
      <c r="P6" s="29">
        <f t="shared" si="5"/>
        <v>12000</v>
      </c>
      <c r="Q6" s="27">
        <f>'Parametre - Agendové IS'!D109</f>
        <v>0</v>
      </c>
      <c r="R6" s="27">
        <f>'Parametre - Agendové IS'!E109</f>
        <v>0</v>
      </c>
      <c r="S6" s="29">
        <f t="shared" si="0"/>
        <v>0</v>
      </c>
      <c r="T6" s="26">
        <f t="shared" si="6"/>
        <v>239448</v>
      </c>
      <c r="U6" s="26">
        <f t="shared" si="7"/>
        <v>550800</v>
      </c>
      <c r="V6" s="29">
        <f t="shared" si="8"/>
        <v>311352</v>
      </c>
    </row>
    <row r="7" spans="1:23" x14ac:dyDescent="0.25">
      <c r="A7" s="25" t="s">
        <v>28</v>
      </c>
      <c r="B7" s="26">
        <f>TCO!G26+TCO!G27</f>
        <v>0</v>
      </c>
      <c r="C7" s="26">
        <f>(TCO!G$12*(1+$W$5))+TCO!G$13</f>
        <v>0</v>
      </c>
      <c r="D7" s="29">
        <f t="shared" si="1"/>
        <v>0</v>
      </c>
      <c r="E7" s="27">
        <f>TCO!G22+TCO!G23</f>
        <v>0</v>
      </c>
      <c r="F7" s="26">
        <f>(TCO!G$7*(1+$W$5))+TCO!G$8</f>
        <v>0</v>
      </c>
      <c r="G7" s="29">
        <f t="shared" si="2"/>
        <v>0</v>
      </c>
      <c r="H7" s="26">
        <f>TCO!G24+TCO!G25</f>
        <v>0</v>
      </c>
      <c r="I7" s="26">
        <f>(TCO!G$9*(1+$W$5))+TCO!G$10</f>
        <v>0</v>
      </c>
      <c r="J7" s="29">
        <f t="shared" si="3"/>
        <v>0</v>
      </c>
      <c r="K7" s="27">
        <v>0</v>
      </c>
      <c r="L7" s="27">
        <f>TCO!G11</f>
        <v>0</v>
      </c>
      <c r="M7" s="29">
        <f t="shared" si="4"/>
        <v>0</v>
      </c>
      <c r="N7" s="27">
        <v>0</v>
      </c>
      <c r="O7" s="27">
        <f>TCO!G14</f>
        <v>0</v>
      </c>
      <c r="P7" s="29">
        <f t="shared" si="5"/>
        <v>0</v>
      </c>
      <c r="Q7" s="27">
        <f>'Parametre - Agendové IS'!D110</f>
        <v>0</v>
      </c>
      <c r="R7" s="27">
        <f>'Parametre - Agendové IS'!E110</f>
        <v>0</v>
      </c>
      <c r="S7" s="29">
        <f t="shared" si="0"/>
        <v>0</v>
      </c>
      <c r="T7" s="26">
        <f t="shared" si="6"/>
        <v>0</v>
      </c>
      <c r="U7" s="26">
        <f t="shared" si="7"/>
        <v>0</v>
      </c>
      <c r="V7" s="29">
        <f t="shared" si="8"/>
        <v>0</v>
      </c>
    </row>
    <row r="8" spans="1:23" x14ac:dyDescent="0.25">
      <c r="A8" s="25" t="s">
        <v>29</v>
      </c>
      <c r="B8" s="26">
        <f>TCO!H26+TCO!H27</f>
        <v>0</v>
      </c>
      <c r="C8" s="26">
        <f>(TCO!H$12*(1+$W$5))+TCO!H$13</f>
        <v>0</v>
      </c>
      <c r="D8" s="29">
        <f t="shared" si="1"/>
        <v>0</v>
      </c>
      <c r="E8" s="27">
        <f>TCO!H22+TCO!H23</f>
        <v>0</v>
      </c>
      <c r="F8" s="26">
        <f>(TCO!H$7*(1+$W$5))+TCO!H$8</f>
        <v>0</v>
      </c>
      <c r="G8" s="29">
        <f t="shared" si="2"/>
        <v>0</v>
      </c>
      <c r="H8" s="26">
        <f>TCO!H24+TCO!H25</f>
        <v>0</v>
      </c>
      <c r="I8" s="26">
        <f>(TCO!H$9*(1+$W$5))+TCO!H$10</f>
        <v>0</v>
      </c>
      <c r="J8" s="29">
        <f t="shared" si="3"/>
        <v>0</v>
      </c>
      <c r="K8" s="27">
        <v>0</v>
      </c>
      <c r="L8" s="27">
        <f>TCO!H11</f>
        <v>0</v>
      </c>
      <c r="M8" s="29">
        <f t="shared" si="4"/>
        <v>0</v>
      </c>
      <c r="N8" s="27">
        <v>0</v>
      </c>
      <c r="O8" s="27">
        <f>TCO!H14</f>
        <v>0</v>
      </c>
      <c r="P8" s="29">
        <f t="shared" si="5"/>
        <v>0</v>
      </c>
      <c r="Q8" s="27">
        <f>'Parametre - Agendové IS'!D111</f>
        <v>0</v>
      </c>
      <c r="R8" s="27">
        <f>'Parametre - Agendové IS'!E111</f>
        <v>0</v>
      </c>
      <c r="S8" s="29">
        <f t="shared" si="0"/>
        <v>0</v>
      </c>
      <c r="T8" s="26">
        <f t="shared" si="6"/>
        <v>0</v>
      </c>
      <c r="U8" s="26">
        <f t="shared" si="7"/>
        <v>0</v>
      </c>
      <c r="V8" s="29">
        <f t="shared" si="8"/>
        <v>0</v>
      </c>
    </row>
    <row r="9" spans="1:23" x14ac:dyDescent="0.25">
      <c r="A9" s="25" t="s">
        <v>30</v>
      </c>
      <c r="B9" s="26">
        <f>TCO!I26+TCO!I27</f>
        <v>0</v>
      </c>
      <c r="C9" s="26">
        <f>(TCO!I$12*(1+$W$5))+TCO!I$13</f>
        <v>0</v>
      </c>
      <c r="D9" s="29">
        <f t="shared" si="1"/>
        <v>0</v>
      </c>
      <c r="E9" s="27">
        <f>TCO!I22+TCO!I23</f>
        <v>0</v>
      </c>
      <c r="F9" s="26">
        <f>(TCO!I$7*(1+$W$5))+TCO!I$8</f>
        <v>0</v>
      </c>
      <c r="G9" s="29">
        <f t="shared" si="2"/>
        <v>0</v>
      </c>
      <c r="H9" s="26">
        <f>TCO!I24+TCO!I25</f>
        <v>0</v>
      </c>
      <c r="I9" s="26">
        <f>(TCO!I$9*(1+$W$5))+TCO!I$10</f>
        <v>0</v>
      </c>
      <c r="J9" s="29">
        <f t="shared" si="3"/>
        <v>0</v>
      </c>
      <c r="K9" s="27">
        <v>0</v>
      </c>
      <c r="L9" s="27">
        <f>TCO!I11</f>
        <v>0</v>
      </c>
      <c r="M9" s="29">
        <f t="shared" si="4"/>
        <v>0</v>
      </c>
      <c r="N9" s="27">
        <v>0</v>
      </c>
      <c r="O9" s="27">
        <f>TCO!I14</f>
        <v>0</v>
      </c>
      <c r="P9" s="29">
        <f t="shared" si="5"/>
        <v>0</v>
      </c>
      <c r="Q9" s="27">
        <f>'Parametre - Agendové IS'!D112</f>
        <v>0</v>
      </c>
      <c r="R9" s="27">
        <f>'Parametre - Agendové IS'!E112</f>
        <v>0</v>
      </c>
      <c r="S9" s="29">
        <f t="shared" si="0"/>
        <v>0</v>
      </c>
      <c r="T9" s="26">
        <f t="shared" si="6"/>
        <v>0</v>
      </c>
      <c r="U9" s="26">
        <f t="shared" si="7"/>
        <v>0</v>
      </c>
      <c r="V9" s="29">
        <f t="shared" si="8"/>
        <v>0</v>
      </c>
    </row>
    <row r="10" spans="1:23" x14ac:dyDescent="0.25">
      <c r="A10" s="25" t="s">
        <v>31</v>
      </c>
      <c r="B10" s="26">
        <f>TCO!J26+TCO!J27</f>
        <v>0</v>
      </c>
      <c r="C10" s="26">
        <f>(TCO!J$12*(1+$W$5))+TCO!J$13</f>
        <v>0</v>
      </c>
      <c r="D10" s="29">
        <f t="shared" si="1"/>
        <v>0</v>
      </c>
      <c r="E10" s="27">
        <f>TCO!J22+TCO!J23</f>
        <v>0</v>
      </c>
      <c r="F10" s="26">
        <f>(TCO!J$7*(1+$W$5))+TCO!J$8</f>
        <v>0</v>
      </c>
      <c r="G10" s="29">
        <f t="shared" si="2"/>
        <v>0</v>
      </c>
      <c r="H10" s="26">
        <f>TCO!J24+TCO!J25</f>
        <v>0</v>
      </c>
      <c r="I10" s="26">
        <f>(TCO!J$9*(1+$W$5))+TCO!J$10</f>
        <v>0</v>
      </c>
      <c r="J10" s="29">
        <f t="shared" si="3"/>
        <v>0</v>
      </c>
      <c r="K10" s="27">
        <v>0</v>
      </c>
      <c r="L10" s="27">
        <f>TCO!J11</f>
        <v>0</v>
      </c>
      <c r="M10" s="29">
        <f t="shared" si="4"/>
        <v>0</v>
      </c>
      <c r="N10" s="27">
        <v>0</v>
      </c>
      <c r="O10" s="27">
        <f>TCO!J14</f>
        <v>0</v>
      </c>
      <c r="P10" s="29">
        <f t="shared" si="5"/>
        <v>0</v>
      </c>
      <c r="Q10" s="27">
        <f>'Parametre - Agendové IS'!D113</f>
        <v>0</v>
      </c>
      <c r="R10" s="27">
        <f>'Parametre - Agendové IS'!E113</f>
        <v>0</v>
      </c>
      <c r="S10" s="29">
        <f t="shared" si="0"/>
        <v>0</v>
      </c>
      <c r="T10" s="26">
        <f t="shared" si="6"/>
        <v>0</v>
      </c>
      <c r="U10" s="26">
        <f t="shared" si="7"/>
        <v>0</v>
      </c>
      <c r="V10" s="29">
        <f t="shared" si="8"/>
        <v>0</v>
      </c>
    </row>
    <row r="11" spans="1:23" x14ac:dyDescent="0.25">
      <c r="A11" s="25" t="s">
        <v>32</v>
      </c>
      <c r="B11" s="26">
        <f>TCO!K26+TCO!K27</f>
        <v>0</v>
      </c>
      <c r="C11" s="26">
        <f>(TCO!K$12*(1+$W$5))+TCO!K$13</f>
        <v>0</v>
      </c>
      <c r="D11" s="29">
        <f t="shared" si="1"/>
        <v>0</v>
      </c>
      <c r="E11" s="27">
        <f>TCO!K22+TCO!K23</f>
        <v>0</v>
      </c>
      <c r="F11" s="26">
        <f>(TCO!K$7*(1+$W$5))+TCO!K$8</f>
        <v>0</v>
      </c>
      <c r="G11" s="29">
        <f t="shared" si="2"/>
        <v>0</v>
      </c>
      <c r="H11" s="26">
        <f>TCO!K24+TCO!K25</f>
        <v>0</v>
      </c>
      <c r="I11" s="26">
        <f>(TCO!K$9*(1+$W$5))+TCO!K$10</f>
        <v>0</v>
      </c>
      <c r="J11" s="29">
        <f t="shared" si="3"/>
        <v>0</v>
      </c>
      <c r="K11" s="27">
        <v>0</v>
      </c>
      <c r="L11" s="27">
        <f>TCO!K11</f>
        <v>0</v>
      </c>
      <c r="M11" s="29">
        <f t="shared" si="4"/>
        <v>0</v>
      </c>
      <c r="N11" s="27">
        <v>0</v>
      </c>
      <c r="O11" s="27">
        <f>TCO!K14</f>
        <v>0</v>
      </c>
      <c r="P11" s="29">
        <f t="shared" si="5"/>
        <v>0</v>
      </c>
      <c r="Q11" s="27">
        <f>'Parametre - Agendové IS'!D114</f>
        <v>0</v>
      </c>
      <c r="R11" s="27">
        <f>'Parametre - Agendové IS'!E114</f>
        <v>0</v>
      </c>
      <c r="S11" s="29">
        <f t="shared" si="0"/>
        <v>0</v>
      </c>
      <c r="T11" s="26">
        <f t="shared" si="6"/>
        <v>0</v>
      </c>
      <c r="U11" s="26">
        <f t="shared" si="7"/>
        <v>0</v>
      </c>
      <c r="V11" s="29">
        <f t="shared" si="8"/>
        <v>0</v>
      </c>
    </row>
    <row r="12" spans="1:23" x14ac:dyDescent="0.25">
      <c r="A12" s="25" t="s">
        <v>33</v>
      </c>
      <c r="B12" s="26">
        <f>TCO!L26+TCO!L27</f>
        <v>0</v>
      </c>
      <c r="C12" s="26">
        <f>(TCO!L$12*(1+$W$5))+TCO!L$13</f>
        <v>0</v>
      </c>
      <c r="D12" s="29">
        <f t="shared" si="1"/>
        <v>0</v>
      </c>
      <c r="E12" s="27">
        <f>TCO!L22+TCO!L23</f>
        <v>0</v>
      </c>
      <c r="F12" s="26">
        <f>(TCO!L$7*(1+$W$5))+TCO!L$8</f>
        <v>0</v>
      </c>
      <c r="G12" s="29">
        <f t="shared" si="2"/>
        <v>0</v>
      </c>
      <c r="H12" s="26">
        <f>TCO!L24+TCO!L25</f>
        <v>0</v>
      </c>
      <c r="I12" s="26">
        <f>(TCO!L$9*(1+$W$5))+TCO!L$10</f>
        <v>0</v>
      </c>
      <c r="J12" s="29">
        <f t="shared" si="3"/>
        <v>0</v>
      </c>
      <c r="K12" s="27">
        <v>0</v>
      </c>
      <c r="L12" s="27">
        <f>TCO!L11</f>
        <v>0</v>
      </c>
      <c r="M12" s="29">
        <f t="shared" si="4"/>
        <v>0</v>
      </c>
      <c r="N12" s="27">
        <v>0</v>
      </c>
      <c r="O12" s="27">
        <f>TCO!L14</f>
        <v>0</v>
      </c>
      <c r="P12" s="29">
        <f t="shared" si="5"/>
        <v>0</v>
      </c>
      <c r="Q12" s="27">
        <f>'Parametre - Agendové IS'!D115</f>
        <v>0</v>
      </c>
      <c r="R12" s="27">
        <f>'Parametre - Agendové IS'!E115</f>
        <v>0</v>
      </c>
      <c r="S12" s="29">
        <f t="shared" si="0"/>
        <v>0</v>
      </c>
      <c r="T12" s="26">
        <f t="shared" si="6"/>
        <v>0</v>
      </c>
      <c r="U12" s="26">
        <f t="shared" si="7"/>
        <v>0</v>
      </c>
      <c r="V12" s="29">
        <f t="shared" si="8"/>
        <v>0</v>
      </c>
    </row>
    <row r="13" spans="1:23" ht="15.75" thickBot="1" x14ac:dyDescent="0.3">
      <c r="A13" s="39" t="s">
        <v>34</v>
      </c>
      <c r="B13" s="43">
        <f>TCO!M26+TCO!M27</f>
        <v>0</v>
      </c>
      <c r="C13" s="43">
        <f>(TCO!M$12*(1+$W$5))+TCO!M$13</f>
        <v>0</v>
      </c>
      <c r="D13" s="166">
        <f t="shared" si="1"/>
        <v>0</v>
      </c>
      <c r="E13" s="47">
        <f>TCO!M22+TCO!M23</f>
        <v>0</v>
      </c>
      <c r="F13" s="43">
        <f>(TCO!M$7*(1+$W$5))+TCO!M$8</f>
        <v>0</v>
      </c>
      <c r="G13" s="166">
        <f t="shared" si="2"/>
        <v>0</v>
      </c>
      <c r="H13" s="43">
        <f>TCO!M24+TCO!M25</f>
        <v>0</v>
      </c>
      <c r="I13" s="43">
        <f>(TCO!M$9*(1+$W$5))+TCO!M$10</f>
        <v>0</v>
      </c>
      <c r="J13" s="166">
        <f t="shared" si="3"/>
        <v>0</v>
      </c>
      <c r="K13" s="47">
        <v>0</v>
      </c>
      <c r="L13" s="47">
        <f>TCO!M11</f>
        <v>0</v>
      </c>
      <c r="M13" s="166">
        <f t="shared" si="4"/>
        <v>0</v>
      </c>
      <c r="N13" s="47">
        <v>0</v>
      </c>
      <c r="O13" s="47">
        <f>TCO!M14</f>
        <v>0</v>
      </c>
      <c r="P13" s="166">
        <f t="shared" si="5"/>
        <v>0</v>
      </c>
      <c r="Q13" s="47">
        <f>'Parametre - Agendové IS'!D116</f>
        <v>0</v>
      </c>
      <c r="R13" s="47">
        <f>'Parametre - Agendové IS'!E116</f>
        <v>0</v>
      </c>
      <c r="S13" s="166">
        <f t="shared" si="0"/>
        <v>0</v>
      </c>
      <c r="T13" s="26">
        <f t="shared" si="6"/>
        <v>0</v>
      </c>
      <c r="U13" s="26">
        <f t="shared" si="7"/>
        <v>0</v>
      </c>
      <c r="V13" s="166">
        <f t="shared" si="8"/>
        <v>0</v>
      </c>
    </row>
    <row r="14" spans="1:23" x14ac:dyDescent="0.25">
      <c r="A14" s="544" t="s">
        <v>105</v>
      </c>
      <c r="B14" s="535">
        <f>SUM(B4:B13)</f>
        <v>0</v>
      </c>
      <c r="C14" s="533">
        <f t="shared" ref="C14:S14" si="9">SUM(C4:C13)</f>
        <v>144000</v>
      </c>
      <c r="D14" s="532">
        <f t="shared" si="9"/>
        <v>144000</v>
      </c>
      <c r="E14" s="535">
        <f t="shared" si="9"/>
        <v>718344</v>
      </c>
      <c r="F14" s="533">
        <f t="shared" si="9"/>
        <v>1941600</v>
      </c>
      <c r="G14" s="532">
        <f t="shared" si="9"/>
        <v>1223256</v>
      </c>
      <c r="H14" s="535">
        <f t="shared" si="9"/>
        <v>0</v>
      </c>
      <c r="I14" s="533">
        <f t="shared" si="9"/>
        <v>1440000</v>
      </c>
      <c r="J14" s="532">
        <f t="shared" si="9"/>
        <v>1440000</v>
      </c>
      <c r="K14" s="535">
        <f t="shared" ref="K14:P14" si="10">SUM(K4:K13)</f>
        <v>0</v>
      </c>
      <c r="L14" s="533">
        <f t="shared" si="10"/>
        <v>0</v>
      </c>
      <c r="M14" s="532">
        <f t="shared" si="10"/>
        <v>0</v>
      </c>
      <c r="N14" s="535">
        <f t="shared" si="10"/>
        <v>0</v>
      </c>
      <c r="O14" s="533">
        <f t="shared" si="10"/>
        <v>72000</v>
      </c>
      <c r="P14" s="532">
        <f t="shared" si="10"/>
        <v>72000</v>
      </c>
      <c r="Q14" s="535">
        <f t="shared" si="9"/>
        <v>0</v>
      </c>
      <c r="R14" s="533">
        <f t="shared" si="9"/>
        <v>0</v>
      </c>
      <c r="S14" s="532">
        <f t="shared" si="9"/>
        <v>0</v>
      </c>
      <c r="T14" s="545">
        <f>SUM(T4:T13)</f>
        <v>718344</v>
      </c>
      <c r="U14" s="546">
        <f>SUM(U4:U13)</f>
        <v>3597600</v>
      </c>
      <c r="V14" s="547">
        <f>SUM(V4:V13)</f>
        <v>2879256</v>
      </c>
    </row>
    <row r="15" spans="1:23" ht="15.75" thickBot="1" x14ac:dyDescent="0.3">
      <c r="A15" s="544" t="s">
        <v>158</v>
      </c>
      <c r="B15" s="543"/>
      <c r="C15" s="541"/>
      <c r="D15" s="539">
        <f>D4+NPV(Faktory!$D$5,D5:D13)</f>
        <v>137251.7006802721</v>
      </c>
      <c r="E15" s="543"/>
      <c r="F15" s="541"/>
      <c r="G15" s="539">
        <f>G4+NPV(Faktory!$D$5,G5:G13)</f>
        <v>1208163.4285714286</v>
      </c>
      <c r="H15" s="543"/>
      <c r="I15" s="541"/>
      <c r="J15" s="539">
        <f>J4+NPV(Faktory!$D$5,J5:J13)</f>
        <v>1415183.6734693877</v>
      </c>
      <c r="K15" s="543"/>
      <c r="L15" s="541"/>
      <c r="M15" s="539">
        <f>M4+NPV(Faktory!$D$5,M5:M13)</f>
        <v>0</v>
      </c>
      <c r="N15" s="543"/>
      <c r="O15" s="541"/>
      <c r="P15" s="539">
        <f>P4+NPV(Faktory!$D$5,P5:P13)</f>
        <v>70312.925170068018</v>
      </c>
      <c r="Q15" s="543"/>
      <c r="R15" s="541"/>
      <c r="S15" s="539">
        <f>S4+NPV(Faktory!$D$5,S5:S13)</f>
        <v>0</v>
      </c>
      <c r="T15" s="548"/>
      <c r="U15" s="549"/>
      <c r="V15" s="550">
        <f>V4+NPV(Faktory!$D$5,V5:V13)</f>
        <v>2830911.7278911564</v>
      </c>
    </row>
    <row r="16" spans="1:23" x14ac:dyDescent="0.25">
      <c r="A16" s="130"/>
      <c r="B16" s="130"/>
      <c r="C16" s="130"/>
      <c r="D16" s="146"/>
      <c r="E16" s="130"/>
      <c r="F16" s="130"/>
      <c r="G16" s="146"/>
      <c r="H16" s="130"/>
      <c r="I16" s="130"/>
      <c r="J16" s="146"/>
      <c r="K16" s="146"/>
      <c r="L16" s="146"/>
      <c r="M16" s="146"/>
      <c r="N16" s="146"/>
      <c r="O16" s="146"/>
      <c r="P16" s="146"/>
      <c r="Q16" s="130"/>
      <c r="R16" s="130"/>
      <c r="S16" s="146"/>
      <c r="T16" s="167"/>
      <c r="U16" s="167"/>
      <c r="V16" s="167"/>
    </row>
    <row r="17" spans="1:2" x14ac:dyDescent="0.25">
      <c r="A17" s="105"/>
      <c r="B17" s="106" t="s">
        <v>172</v>
      </c>
    </row>
    <row r="22" spans="1:2" x14ac:dyDescent="0.25">
      <c r="B22" s="168"/>
    </row>
  </sheetData>
  <mergeCells count="10">
    <mergeCell ref="Q1:S1"/>
    <mergeCell ref="T1:V1"/>
    <mergeCell ref="B2:D2"/>
    <mergeCell ref="E2:G2"/>
    <mergeCell ref="H2:J2"/>
    <mergeCell ref="Q2:S2"/>
    <mergeCell ref="N1:P1"/>
    <mergeCell ref="N2:P2"/>
    <mergeCell ref="K2:M2"/>
    <mergeCell ref="B1:M1"/>
  </mergeCells>
  <phoneticPr fontId="74" type="noConversion"/>
  <pageMargins left="0.7" right="0.7" top="0.75" bottom="0.75" header="0.3" footer="0.3"/>
  <pageSetup paperSize="9" scale="2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AW136"/>
  <sheetViews>
    <sheetView view="pageBreakPreview" zoomScaleNormal="80" zoomScaleSheetLayoutView="69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39" sqref="M39:N45"/>
    </sheetView>
  </sheetViews>
  <sheetFormatPr defaultColWidth="9.140625" defaultRowHeight="15" x14ac:dyDescent="0.25"/>
  <cols>
    <col min="1" max="1" width="19.140625" style="386" customWidth="1"/>
    <col min="2" max="2" width="9.85546875" style="386" bestFit="1" customWidth="1"/>
    <col min="3" max="3" width="8.85546875" style="386" bestFit="1" customWidth="1"/>
    <col min="4" max="4" width="14.42578125" style="386" bestFit="1" customWidth="1"/>
    <col min="5" max="5" width="15.7109375" style="386" bestFit="1" customWidth="1"/>
    <col min="6" max="6" width="14.42578125" style="386" bestFit="1" customWidth="1"/>
    <col min="7" max="7" width="12.85546875" style="386" bestFit="1" customWidth="1"/>
    <col min="8" max="8" width="14.42578125" style="386" bestFit="1" customWidth="1"/>
    <col min="9" max="9" width="12.85546875" style="386" bestFit="1" customWidth="1"/>
    <col min="10" max="10" width="10.28515625" style="458" customWidth="1"/>
    <col min="11" max="11" width="14.42578125" style="457" bestFit="1" customWidth="1"/>
    <col min="12" max="12" width="14.42578125" style="586" bestFit="1" customWidth="1"/>
    <col min="13" max="13" width="10.28515625" style="458" customWidth="1"/>
    <col min="14" max="14" width="14.42578125" style="457" bestFit="1" customWidth="1"/>
    <col min="15" max="15" width="14.42578125" style="586" bestFit="1" customWidth="1"/>
    <col min="16" max="16" width="10.28515625" style="458" customWidth="1"/>
    <col min="17" max="17" width="14.42578125" style="457" bestFit="1" customWidth="1"/>
    <col min="18" max="18" width="14.42578125" style="586" bestFit="1" customWidth="1"/>
    <col min="19" max="19" width="10.28515625" style="458" customWidth="1"/>
    <col min="20" max="20" width="14.42578125" style="457" bestFit="1" customWidth="1"/>
    <col min="21" max="21" width="14.42578125" style="572" bestFit="1" customWidth="1"/>
    <col min="22" max="22" width="10.28515625" style="458" customWidth="1"/>
    <col min="23" max="23" width="14.42578125" style="457" bestFit="1" customWidth="1"/>
    <col min="24" max="24" width="14.42578125" style="572" bestFit="1" customWidth="1"/>
    <col min="25" max="25" width="10.28515625" style="458" customWidth="1"/>
    <col min="26" max="26" width="14.42578125" style="457" bestFit="1" customWidth="1"/>
    <col min="27" max="27" width="14.42578125" style="572" bestFit="1" customWidth="1"/>
    <col min="28" max="28" width="10.28515625" style="458" customWidth="1"/>
    <col min="29" max="29" width="14.42578125" style="457" bestFit="1" customWidth="1"/>
    <col min="30" max="30" width="14.42578125" style="572" bestFit="1" customWidth="1"/>
    <col min="31" max="31" width="10.28515625" style="458" customWidth="1"/>
    <col min="32" max="32" width="14.42578125" style="457" bestFit="1" customWidth="1"/>
    <col min="33" max="33" width="14.42578125" style="572" bestFit="1" customWidth="1"/>
    <col min="34" max="34" width="10.28515625" style="458" customWidth="1"/>
    <col min="35" max="35" width="14.42578125" style="457" bestFit="1" customWidth="1"/>
    <col min="36" max="36" width="14.42578125" style="572" bestFit="1" customWidth="1"/>
    <col min="37" max="37" width="10.28515625" style="458" customWidth="1"/>
    <col min="38" max="38" width="14.42578125" style="457" bestFit="1" customWidth="1"/>
    <col min="39" max="39" width="14.42578125" style="572" bestFit="1" customWidth="1"/>
    <col min="40" max="40" width="10.28515625" style="458" customWidth="1"/>
    <col min="41" max="41" width="14.42578125" style="457" bestFit="1" customWidth="1"/>
    <col min="42" max="42" width="14.42578125" style="572" bestFit="1" customWidth="1"/>
    <col min="43" max="43" width="10.28515625" style="458" customWidth="1"/>
    <col min="44" max="44" width="14.42578125" style="457" bestFit="1" customWidth="1"/>
    <col min="45" max="45" width="14.42578125" style="572" bestFit="1" customWidth="1"/>
    <col min="46" max="46" width="10.28515625" style="458" customWidth="1"/>
    <col min="47" max="47" width="14.42578125" style="457" bestFit="1" customWidth="1"/>
    <col min="48" max="48" width="14.42578125" style="572" bestFit="1" customWidth="1"/>
    <col min="49" max="49" width="14.7109375" style="444" customWidth="1"/>
    <col min="50" max="52" width="9.140625" style="386"/>
    <col min="53" max="53" width="12.42578125" style="386" bestFit="1" customWidth="1"/>
    <col min="54" max="288" width="9.140625" style="386"/>
    <col min="289" max="289" width="1.7109375" style="386" customWidth="1"/>
    <col min="290" max="290" width="19.140625" style="386" customWidth="1"/>
    <col min="291" max="291" width="35.140625" style="386" customWidth="1"/>
    <col min="292" max="292" width="9.85546875" style="386" bestFit="1" customWidth="1"/>
    <col min="293" max="293" width="8.85546875" style="386" bestFit="1" customWidth="1"/>
    <col min="294" max="304" width="10.28515625" style="386" customWidth="1"/>
    <col min="305" max="544" width="9.140625" style="386"/>
    <col min="545" max="545" width="1.7109375" style="386" customWidth="1"/>
    <col min="546" max="546" width="19.140625" style="386" customWidth="1"/>
    <col min="547" max="547" width="35.140625" style="386" customWidth="1"/>
    <col min="548" max="548" width="9.85546875" style="386" bestFit="1" customWidth="1"/>
    <col min="549" max="549" width="8.85546875" style="386" bestFit="1" customWidth="1"/>
    <col min="550" max="560" width="10.28515625" style="386" customWidth="1"/>
    <col min="561" max="800" width="9.140625" style="386"/>
    <col min="801" max="801" width="1.7109375" style="386" customWidth="1"/>
    <col min="802" max="802" width="19.140625" style="386" customWidth="1"/>
    <col min="803" max="803" width="35.140625" style="386" customWidth="1"/>
    <col min="804" max="804" width="9.85546875" style="386" bestFit="1" customWidth="1"/>
    <col min="805" max="805" width="8.85546875" style="386" bestFit="1" customWidth="1"/>
    <col min="806" max="816" width="10.28515625" style="386" customWidth="1"/>
    <col min="817" max="1056" width="9.140625" style="386"/>
    <col min="1057" max="1057" width="1.7109375" style="386" customWidth="1"/>
    <col min="1058" max="1058" width="19.140625" style="386" customWidth="1"/>
    <col min="1059" max="1059" width="35.140625" style="386" customWidth="1"/>
    <col min="1060" max="1060" width="9.85546875" style="386" bestFit="1" customWidth="1"/>
    <col min="1061" max="1061" width="8.85546875" style="386" bestFit="1" customWidth="1"/>
    <col min="1062" max="1072" width="10.28515625" style="386" customWidth="1"/>
    <col min="1073" max="1312" width="9.140625" style="386"/>
    <col min="1313" max="1313" width="1.7109375" style="386" customWidth="1"/>
    <col min="1314" max="1314" width="19.140625" style="386" customWidth="1"/>
    <col min="1315" max="1315" width="35.140625" style="386" customWidth="1"/>
    <col min="1316" max="1316" width="9.85546875" style="386" bestFit="1" customWidth="1"/>
    <col min="1317" max="1317" width="8.85546875" style="386" bestFit="1" customWidth="1"/>
    <col min="1318" max="1328" width="10.28515625" style="386" customWidth="1"/>
    <col min="1329" max="1568" width="9.140625" style="386"/>
    <col min="1569" max="1569" width="1.7109375" style="386" customWidth="1"/>
    <col min="1570" max="1570" width="19.140625" style="386" customWidth="1"/>
    <col min="1571" max="1571" width="35.140625" style="386" customWidth="1"/>
    <col min="1572" max="1572" width="9.85546875" style="386" bestFit="1" customWidth="1"/>
    <col min="1573" max="1573" width="8.85546875" style="386" bestFit="1" customWidth="1"/>
    <col min="1574" max="1584" width="10.28515625" style="386" customWidth="1"/>
    <col min="1585" max="1824" width="9.140625" style="386"/>
    <col min="1825" max="1825" width="1.7109375" style="386" customWidth="1"/>
    <col min="1826" max="1826" width="19.140625" style="386" customWidth="1"/>
    <col min="1827" max="1827" width="35.140625" style="386" customWidth="1"/>
    <col min="1828" max="1828" width="9.85546875" style="386" bestFit="1" customWidth="1"/>
    <col min="1829" max="1829" width="8.85546875" style="386" bestFit="1" customWidth="1"/>
    <col min="1830" max="1840" width="10.28515625" style="386" customWidth="1"/>
    <col min="1841" max="2080" width="9.140625" style="386"/>
    <col min="2081" max="2081" width="1.7109375" style="386" customWidth="1"/>
    <col min="2082" max="2082" width="19.140625" style="386" customWidth="1"/>
    <col min="2083" max="2083" width="35.140625" style="386" customWidth="1"/>
    <col min="2084" max="2084" width="9.85546875" style="386" bestFit="1" customWidth="1"/>
    <col min="2085" max="2085" width="8.85546875" style="386" bestFit="1" customWidth="1"/>
    <col min="2086" max="2096" width="10.28515625" style="386" customWidth="1"/>
    <col min="2097" max="2336" width="9.140625" style="386"/>
    <col min="2337" max="2337" width="1.7109375" style="386" customWidth="1"/>
    <col min="2338" max="2338" width="19.140625" style="386" customWidth="1"/>
    <col min="2339" max="2339" width="35.140625" style="386" customWidth="1"/>
    <col min="2340" max="2340" width="9.85546875" style="386" bestFit="1" customWidth="1"/>
    <col min="2341" max="2341" width="8.85546875" style="386" bestFit="1" customWidth="1"/>
    <col min="2342" max="2352" width="10.28515625" style="386" customWidth="1"/>
    <col min="2353" max="2592" width="9.140625" style="386"/>
    <col min="2593" max="2593" width="1.7109375" style="386" customWidth="1"/>
    <col min="2594" max="2594" width="19.140625" style="386" customWidth="1"/>
    <col min="2595" max="2595" width="35.140625" style="386" customWidth="1"/>
    <col min="2596" max="2596" width="9.85546875" style="386" bestFit="1" customWidth="1"/>
    <col min="2597" max="2597" width="8.85546875" style="386" bestFit="1" customWidth="1"/>
    <col min="2598" max="2608" width="10.28515625" style="386" customWidth="1"/>
    <col min="2609" max="2848" width="9.140625" style="386"/>
    <col min="2849" max="2849" width="1.7109375" style="386" customWidth="1"/>
    <col min="2850" max="2850" width="19.140625" style="386" customWidth="1"/>
    <col min="2851" max="2851" width="35.140625" style="386" customWidth="1"/>
    <col min="2852" max="2852" width="9.85546875" style="386" bestFit="1" customWidth="1"/>
    <col min="2853" max="2853" width="8.85546875" style="386" bestFit="1" customWidth="1"/>
    <col min="2854" max="2864" width="10.28515625" style="386" customWidth="1"/>
    <col min="2865" max="3104" width="9.140625" style="386"/>
    <col min="3105" max="3105" width="1.7109375" style="386" customWidth="1"/>
    <col min="3106" max="3106" width="19.140625" style="386" customWidth="1"/>
    <col min="3107" max="3107" width="35.140625" style="386" customWidth="1"/>
    <col min="3108" max="3108" width="9.85546875" style="386" bestFit="1" customWidth="1"/>
    <col min="3109" max="3109" width="8.85546875" style="386" bestFit="1" customWidth="1"/>
    <col min="3110" max="3120" width="10.28515625" style="386" customWidth="1"/>
    <col min="3121" max="3360" width="9.140625" style="386"/>
    <col min="3361" max="3361" width="1.7109375" style="386" customWidth="1"/>
    <col min="3362" max="3362" width="19.140625" style="386" customWidth="1"/>
    <col min="3363" max="3363" width="35.140625" style="386" customWidth="1"/>
    <col min="3364" max="3364" width="9.85546875" style="386" bestFit="1" customWidth="1"/>
    <col min="3365" max="3365" width="8.85546875" style="386" bestFit="1" customWidth="1"/>
    <col min="3366" max="3376" width="10.28515625" style="386" customWidth="1"/>
    <col min="3377" max="3616" width="9.140625" style="386"/>
    <col min="3617" max="3617" width="1.7109375" style="386" customWidth="1"/>
    <col min="3618" max="3618" width="19.140625" style="386" customWidth="1"/>
    <col min="3619" max="3619" width="35.140625" style="386" customWidth="1"/>
    <col min="3620" max="3620" width="9.85546875" style="386" bestFit="1" customWidth="1"/>
    <col min="3621" max="3621" width="8.85546875" style="386" bestFit="1" customWidth="1"/>
    <col min="3622" max="3632" width="10.28515625" style="386" customWidth="1"/>
    <col min="3633" max="3872" width="9.140625" style="386"/>
    <col min="3873" max="3873" width="1.7109375" style="386" customWidth="1"/>
    <col min="3874" max="3874" width="19.140625" style="386" customWidth="1"/>
    <col min="3875" max="3875" width="35.140625" style="386" customWidth="1"/>
    <col min="3876" max="3876" width="9.85546875" style="386" bestFit="1" customWidth="1"/>
    <col min="3877" max="3877" width="8.85546875" style="386" bestFit="1" customWidth="1"/>
    <col min="3878" max="3888" width="10.28515625" style="386" customWidth="1"/>
    <col min="3889" max="4128" width="9.140625" style="386"/>
    <col min="4129" max="4129" width="1.7109375" style="386" customWidth="1"/>
    <col min="4130" max="4130" width="19.140625" style="386" customWidth="1"/>
    <col min="4131" max="4131" width="35.140625" style="386" customWidth="1"/>
    <col min="4132" max="4132" width="9.85546875" style="386" bestFit="1" customWidth="1"/>
    <col min="4133" max="4133" width="8.85546875" style="386" bestFit="1" customWidth="1"/>
    <col min="4134" max="4144" width="10.28515625" style="386" customWidth="1"/>
    <col min="4145" max="4384" width="9.140625" style="386"/>
    <col min="4385" max="4385" width="1.7109375" style="386" customWidth="1"/>
    <col min="4386" max="4386" width="19.140625" style="386" customWidth="1"/>
    <col min="4387" max="4387" width="35.140625" style="386" customWidth="1"/>
    <col min="4388" max="4388" width="9.85546875" style="386" bestFit="1" customWidth="1"/>
    <col min="4389" max="4389" width="8.85546875" style="386" bestFit="1" customWidth="1"/>
    <col min="4390" max="4400" width="10.28515625" style="386" customWidth="1"/>
    <col min="4401" max="4640" width="9.140625" style="386"/>
    <col min="4641" max="4641" width="1.7109375" style="386" customWidth="1"/>
    <col min="4642" max="4642" width="19.140625" style="386" customWidth="1"/>
    <col min="4643" max="4643" width="35.140625" style="386" customWidth="1"/>
    <col min="4644" max="4644" width="9.85546875" style="386" bestFit="1" customWidth="1"/>
    <col min="4645" max="4645" width="8.85546875" style="386" bestFit="1" customWidth="1"/>
    <col min="4646" max="4656" width="10.28515625" style="386" customWidth="1"/>
    <col min="4657" max="4896" width="9.140625" style="386"/>
    <col min="4897" max="4897" width="1.7109375" style="386" customWidth="1"/>
    <col min="4898" max="4898" width="19.140625" style="386" customWidth="1"/>
    <col min="4899" max="4899" width="35.140625" style="386" customWidth="1"/>
    <col min="4900" max="4900" width="9.85546875" style="386" bestFit="1" customWidth="1"/>
    <col min="4901" max="4901" width="8.85546875" style="386" bestFit="1" customWidth="1"/>
    <col min="4902" max="4912" width="10.28515625" style="386" customWidth="1"/>
    <col min="4913" max="5152" width="9.140625" style="386"/>
    <col min="5153" max="5153" width="1.7109375" style="386" customWidth="1"/>
    <col min="5154" max="5154" width="19.140625" style="386" customWidth="1"/>
    <col min="5155" max="5155" width="35.140625" style="386" customWidth="1"/>
    <col min="5156" max="5156" width="9.85546875" style="386" bestFit="1" customWidth="1"/>
    <col min="5157" max="5157" width="8.85546875" style="386" bestFit="1" customWidth="1"/>
    <col min="5158" max="5168" width="10.28515625" style="386" customWidth="1"/>
    <col min="5169" max="5408" width="9.140625" style="386"/>
    <col min="5409" max="5409" width="1.7109375" style="386" customWidth="1"/>
    <col min="5410" max="5410" width="19.140625" style="386" customWidth="1"/>
    <col min="5411" max="5411" width="35.140625" style="386" customWidth="1"/>
    <col min="5412" max="5412" width="9.85546875" style="386" bestFit="1" customWidth="1"/>
    <col min="5413" max="5413" width="8.85546875" style="386" bestFit="1" customWidth="1"/>
    <col min="5414" max="5424" width="10.28515625" style="386" customWidth="1"/>
    <col min="5425" max="5664" width="9.140625" style="386"/>
    <col min="5665" max="5665" width="1.7109375" style="386" customWidth="1"/>
    <col min="5666" max="5666" width="19.140625" style="386" customWidth="1"/>
    <col min="5667" max="5667" width="35.140625" style="386" customWidth="1"/>
    <col min="5668" max="5668" width="9.85546875" style="386" bestFit="1" customWidth="1"/>
    <col min="5669" max="5669" width="8.85546875" style="386" bestFit="1" customWidth="1"/>
    <col min="5670" max="5680" width="10.28515625" style="386" customWidth="1"/>
    <col min="5681" max="5920" width="9.140625" style="386"/>
    <col min="5921" max="5921" width="1.7109375" style="386" customWidth="1"/>
    <col min="5922" max="5922" width="19.140625" style="386" customWidth="1"/>
    <col min="5923" max="5923" width="35.140625" style="386" customWidth="1"/>
    <col min="5924" max="5924" width="9.85546875" style="386" bestFit="1" customWidth="1"/>
    <col min="5925" max="5925" width="8.85546875" style="386" bestFit="1" customWidth="1"/>
    <col min="5926" max="5936" width="10.28515625" style="386" customWidth="1"/>
    <col min="5937" max="6176" width="9.140625" style="386"/>
    <col min="6177" max="6177" width="1.7109375" style="386" customWidth="1"/>
    <col min="6178" max="6178" width="19.140625" style="386" customWidth="1"/>
    <col min="6179" max="6179" width="35.140625" style="386" customWidth="1"/>
    <col min="6180" max="6180" width="9.85546875" style="386" bestFit="1" customWidth="1"/>
    <col min="6181" max="6181" width="8.85546875" style="386" bestFit="1" customWidth="1"/>
    <col min="6182" max="6192" width="10.28515625" style="386" customWidth="1"/>
    <col min="6193" max="6432" width="9.140625" style="386"/>
    <col min="6433" max="6433" width="1.7109375" style="386" customWidth="1"/>
    <col min="6434" max="6434" width="19.140625" style="386" customWidth="1"/>
    <col min="6435" max="6435" width="35.140625" style="386" customWidth="1"/>
    <col min="6436" max="6436" width="9.85546875" style="386" bestFit="1" customWidth="1"/>
    <col min="6437" max="6437" width="8.85546875" style="386" bestFit="1" customWidth="1"/>
    <col min="6438" max="6448" width="10.28515625" style="386" customWidth="1"/>
    <col min="6449" max="6688" width="9.140625" style="386"/>
    <col min="6689" max="6689" width="1.7109375" style="386" customWidth="1"/>
    <col min="6690" max="6690" width="19.140625" style="386" customWidth="1"/>
    <col min="6691" max="6691" width="35.140625" style="386" customWidth="1"/>
    <col min="6692" max="6692" width="9.85546875" style="386" bestFit="1" customWidth="1"/>
    <col min="6693" max="6693" width="8.85546875" style="386" bestFit="1" customWidth="1"/>
    <col min="6694" max="6704" width="10.28515625" style="386" customWidth="1"/>
    <col min="6705" max="6944" width="9.140625" style="386"/>
    <col min="6945" max="6945" width="1.7109375" style="386" customWidth="1"/>
    <col min="6946" max="6946" width="19.140625" style="386" customWidth="1"/>
    <col min="6947" max="6947" width="35.140625" style="386" customWidth="1"/>
    <col min="6948" max="6948" width="9.85546875" style="386" bestFit="1" customWidth="1"/>
    <col min="6949" max="6949" width="8.85546875" style="386" bestFit="1" customWidth="1"/>
    <col min="6950" max="6960" width="10.28515625" style="386" customWidth="1"/>
    <col min="6961" max="7200" width="9.140625" style="386"/>
    <col min="7201" max="7201" width="1.7109375" style="386" customWidth="1"/>
    <col min="7202" max="7202" width="19.140625" style="386" customWidth="1"/>
    <col min="7203" max="7203" width="35.140625" style="386" customWidth="1"/>
    <col min="7204" max="7204" width="9.85546875" style="386" bestFit="1" customWidth="1"/>
    <col min="7205" max="7205" width="8.85546875" style="386" bestFit="1" customWidth="1"/>
    <col min="7206" max="7216" width="10.28515625" style="386" customWidth="1"/>
    <col min="7217" max="7456" width="9.140625" style="386"/>
    <col min="7457" max="7457" width="1.7109375" style="386" customWidth="1"/>
    <col min="7458" max="7458" width="19.140625" style="386" customWidth="1"/>
    <col min="7459" max="7459" width="35.140625" style="386" customWidth="1"/>
    <col min="7460" max="7460" width="9.85546875" style="386" bestFit="1" customWidth="1"/>
    <col min="7461" max="7461" width="8.85546875" style="386" bestFit="1" customWidth="1"/>
    <col min="7462" max="7472" width="10.28515625" style="386" customWidth="1"/>
    <col min="7473" max="7712" width="9.140625" style="386"/>
    <col min="7713" max="7713" width="1.7109375" style="386" customWidth="1"/>
    <col min="7714" max="7714" width="19.140625" style="386" customWidth="1"/>
    <col min="7715" max="7715" width="35.140625" style="386" customWidth="1"/>
    <col min="7716" max="7716" width="9.85546875" style="386" bestFit="1" customWidth="1"/>
    <col min="7717" max="7717" width="8.85546875" style="386" bestFit="1" customWidth="1"/>
    <col min="7718" max="7728" width="10.28515625" style="386" customWidth="1"/>
    <col min="7729" max="7968" width="9.140625" style="386"/>
    <col min="7969" max="7969" width="1.7109375" style="386" customWidth="1"/>
    <col min="7970" max="7970" width="19.140625" style="386" customWidth="1"/>
    <col min="7971" max="7971" width="35.140625" style="386" customWidth="1"/>
    <col min="7972" max="7972" width="9.85546875" style="386" bestFit="1" customWidth="1"/>
    <col min="7973" max="7973" width="8.85546875" style="386" bestFit="1" customWidth="1"/>
    <col min="7974" max="7984" width="10.28515625" style="386" customWidth="1"/>
    <col min="7985" max="8224" width="9.140625" style="386"/>
    <col min="8225" max="8225" width="1.7109375" style="386" customWidth="1"/>
    <col min="8226" max="8226" width="19.140625" style="386" customWidth="1"/>
    <col min="8227" max="8227" width="35.140625" style="386" customWidth="1"/>
    <col min="8228" max="8228" width="9.85546875" style="386" bestFit="1" customWidth="1"/>
    <col min="8229" max="8229" width="8.85546875" style="386" bestFit="1" customWidth="1"/>
    <col min="8230" max="8240" width="10.28515625" style="386" customWidth="1"/>
    <col min="8241" max="8480" width="9.140625" style="386"/>
    <col min="8481" max="8481" width="1.7109375" style="386" customWidth="1"/>
    <col min="8482" max="8482" width="19.140625" style="386" customWidth="1"/>
    <col min="8483" max="8483" width="35.140625" style="386" customWidth="1"/>
    <col min="8484" max="8484" width="9.85546875" style="386" bestFit="1" customWidth="1"/>
    <col min="8485" max="8485" width="8.85546875" style="386" bestFit="1" customWidth="1"/>
    <col min="8486" max="8496" width="10.28515625" style="386" customWidth="1"/>
    <col min="8497" max="8736" width="9.140625" style="386"/>
    <col min="8737" max="8737" width="1.7109375" style="386" customWidth="1"/>
    <col min="8738" max="8738" width="19.140625" style="386" customWidth="1"/>
    <col min="8739" max="8739" width="35.140625" style="386" customWidth="1"/>
    <col min="8740" max="8740" width="9.85546875" style="386" bestFit="1" customWidth="1"/>
    <col min="8741" max="8741" width="8.85546875" style="386" bestFit="1" customWidth="1"/>
    <col min="8742" max="8752" width="10.28515625" style="386" customWidth="1"/>
    <col min="8753" max="8992" width="9.140625" style="386"/>
    <col min="8993" max="8993" width="1.7109375" style="386" customWidth="1"/>
    <col min="8994" max="8994" width="19.140625" style="386" customWidth="1"/>
    <col min="8995" max="8995" width="35.140625" style="386" customWidth="1"/>
    <col min="8996" max="8996" width="9.85546875" style="386" bestFit="1" customWidth="1"/>
    <col min="8997" max="8997" width="8.85546875" style="386" bestFit="1" customWidth="1"/>
    <col min="8998" max="9008" width="10.28515625" style="386" customWidth="1"/>
    <col min="9009" max="9248" width="9.140625" style="386"/>
    <col min="9249" max="9249" width="1.7109375" style="386" customWidth="1"/>
    <col min="9250" max="9250" width="19.140625" style="386" customWidth="1"/>
    <col min="9251" max="9251" width="35.140625" style="386" customWidth="1"/>
    <col min="9252" max="9252" width="9.85546875" style="386" bestFit="1" customWidth="1"/>
    <col min="9253" max="9253" width="8.85546875" style="386" bestFit="1" customWidth="1"/>
    <col min="9254" max="9264" width="10.28515625" style="386" customWidth="1"/>
    <col min="9265" max="9504" width="9.140625" style="386"/>
    <col min="9505" max="9505" width="1.7109375" style="386" customWidth="1"/>
    <col min="9506" max="9506" width="19.140625" style="386" customWidth="1"/>
    <col min="9507" max="9507" width="35.140625" style="386" customWidth="1"/>
    <col min="9508" max="9508" width="9.85546875" style="386" bestFit="1" customWidth="1"/>
    <col min="9509" max="9509" width="8.85546875" style="386" bestFit="1" customWidth="1"/>
    <col min="9510" max="9520" width="10.28515625" style="386" customWidth="1"/>
    <col min="9521" max="9760" width="9.140625" style="386"/>
    <col min="9761" max="9761" width="1.7109375" style="386" customWidth="1"/>
    <col min="9762" max="9762" width="19.140625" style="386" customWidth="1"/>
    <col min="9763" max="9763" width="35.140625" style="386" customWidth="1"/>
    <col min="9764" max="9764" width="9.85546875" style="386" bestFit="1" customWidth="1"/>
    <col min="9765" max="9765" width="8.85546875" style="386" bestFit="1" customWidth="1"/>
    <col min="9766" max="9776" width="10.28515625" style="386" customWidth="1"/>
    <col min="9777" max="10016" width="9.140625" style="386"/>
    <col min="10017" max="10017" width="1.7109375" style="386" customWidth="1"/>
    <col min="10018" max="10018" width="19.140625" style="386" customWidth="1"/>
    <col min="10019" max="10019" width="35.140625" style="386" customWidth="1"/>
    <col min="10020" max="10020" width="9.85546875" style="386" bestFit="1" customWidth="1"/>
    <col min="10021" max="10021" width="8.85546875" style="386" bestFit="1" customWidth="1"/>
    <col min="10022" max="10032" width="10.28515625" style="386" customWidth="1"/>
    <col min="10033" max="10272" width="9.140625" style="386"/>
    <col min="10273" max="10273" width="1.7109375" style="386" customWidth="1"/>
    <col min="10274" max="10274" width="19.140625" style="386" customWidth="1"/>
    <col min="10275" max="10275" width="35.140625" style="386" customWidth="1"/>
    <col min="10276" max="10276" width="9.85546875" style="386" bestFit="1" customWidth="1"/>
    <col min="10277" max="10277" width="8.85546875" style="386" bestFit="1" customWidth="1"/>
    <col min="10278" max="10288" width="10.28515625" style="386" customWidth="1"/>
    <col min="10289" max="10528" width="9.140625" style="386"/>
    <col min="10529" max="10529" width="1.7109375" style="386" customWidth="1"/>
    <col min="10530" max="10530" width="19.140625" style="386" customWidth="1"/>
    <col min="10531" max="10531" width="35.140625" style="386" customWidth="1"/>
    <col min="10532" max="10532" width="9.85546875" style="386" bestFit="1" customWidth="1"/>
    <col min="10533" max="10533" width="8.85546875" style="386" bestFit="1" customWidth="1"/>
    <col min="10534" max="10544" width="10.28515625" style="386" customWidth="1"/>
    <col min="10545" max="10784" width="9.140625" style="386"/>
    <col min="10785" max="10785" width="1.7109375" style="386" customWidth="1"/>
    <col min="10786" max="10786" width="19.140625" style="386" customWidth="1"/>
    <col min="10787" max="10787" width="35.140625" style="386" customWidth="1"/>
    <col min="10788" max="10788" width="9.85546875" style="386" bestFit="1" customWidth="1"/>
    <col min="10789" max="10789" width="8.85546875" style="386" bestFit="1" customWidth="1"/>
    <col min="10790" max="10800" width="10.28515625" style="386" customWidth="1"/>
    <col min="10801" max="11040" width="9.140625" style="386"/>
    <col min="11041" max="11041" width="1.7109375" style="386" customWidth="1"/>
    <col min="11042" max="11042" width="19.140625" style="386" customWidth="1"/>
    <col min="11043" max="11043" width="35.140625" style="386" customWidth="1"/>
    <col min="11044" max="11044" width="9.85546875" style="386" bestFit="1" customWidth="1"/>
    <col min="11045" max="11045" width="8.85546875" style="386" bestFit="1" customWidth="1"/>
    <col min="11046" max="11056" width="10.28515625" style="386" customWidth="1"/>
    <col min="11057" max="11296" width="9.140625" style="386"/>
    <col min="11297" max="11297" width="1.7109375" style="386" customWidth="1"/>
    <col min="11298" max="11298" width="19.140625" style="386" customWidth="1"/>
    <col min="11299" max="11299" width="35.140625" style="386" customWidth="1"/>
    <col min="11300" max="11300" width="9.85546875" style="386" bestFit="1" customWidth="1"/>
    <col min="11301" max="11301" width="8.85546875" style="386" bestFit="1" customWidth="1"/>
    <col min="11302" max="11312" width="10.28515625" style="386" customWidth="1"/>
    <col min="11313" max="11552" width="9.140625" style="386"/>
    <col min="11553" max="11553" width="1.7109375" style="386" customWidth="1"/>
    <col min="11554" max="11554" width="19.140625" style="386" customWidth="1"/>
    <col min="11555" max="11555" width="35.140625" style="386" customWidth="1"/>
    <col min="11556" max="11556" width="9.85546875" style="386" bestFit="1" customWidth="1"/>
    <col min="11557" max="11557" width="8.85546875" style="386" bestFit="1" customWidth="1"/>
    <col min="11558" max="11568" width="10.28515625" style="386" customWidth="1"/>
    <col min="11569" max="11808" width="9.140625" style="386"/>
    <col min="11809" max="11809" width="1.7109375" style="386" customWidth="1"/>
    <col min="11810" max="11810" width="19.140625" style="386" customWidth="1"/>
    <col min="11811" max="11811" width="35.140625" style="386" customWidth="1"/>
    <col min="11812" max="11812" width="9.85546875" style="386" bestFit="1" customWidth="1"/>
    <col min="11813" max="11813" width="8.85546875" style="386" bestFit="1" customWidth="1"/>
    <col min="11814" max="11824" width="10.28515625" style="386" customWidth="1"/>
    <col min="11825" max="12064" width="9.140625" style="386"/>
    <col min="12065" max="12065" width="1.7109375" style="386" customWidth="1"/>
    <col min="12066" max="12066" width="19.140625" style="386" customWidth="1"/>
    <col min="12067" max="12067" width="35.140625" style="386" customWidth="1"/>
    <col min="12068" max="12068" width="9.85546875" style="386" bestFit="1" customWidth="1"/>
    <col min="12069" max="12069" width="8.85546875" style="386" bestFit="1" customWidth="1"/>
    <col min="12070" max="12080" width="10.28515625" style="386" customWidth="1"/>
    <col min="12081" max="12320" width="9.140625" style="386"/>
    <col min="12321" max="12321" width="1.7109375" style="386" customWidth="1"/>
    <col min="12322" max="12322" width="19.140625" style="386" customWidth="1"/>
    <col min="12323" max="12323" width="35.140625" style="386" customWidth="1"/>
    <col min="12324" max="12324" width="9.85546875" style="386" bestFit="1" customWidth="1"/>
    <col min="12325" max="12325" width="8.85546875" style="386" bestFit="1" customWidth="1"/>
    <col min="12326" max="12336" width="10.28515625" style="386" customWidth="1"/>
    <col min="12337" max="12576" width="9.140625" style="386"/>
    <col min="12577" max="12577" width="1.7109375" style="386" customWidth="1"/>
    <col min="12578" max="12578" width="19.140625" style="386" customWidth="1"/>
    <col min="12579" max="12579" width="35.140625" style="386" customWidth="1"/>
    <col min="12580" max="12580" width="9.85546875" style="386" bestFit="1" customWidth="1"/>
    <col min="12581" max="12581" width="8.85546875" style="386" bestFit="1" customWidth="1"/>
    <col min="12582" max="12592" width="10.28515625" style="386" customWidth="1"/>
    <col min="12593" max="12832" width="9.140625" style="386"/>
    <col min="12833" max="12833" width="1.7109375" style="386" customWidth="1"/>
    <col min="12834" max="12834" width="19.140625" style="386" customWidth="1"/>
    <col min="12835" max="12835" width="35.140625" style="386" customWidth="1"/>
    <col min="12836" max="12836" width="9.85546875" style="386" bestFit="1" customWidth="1"/>
    <col min="12837" max="12837" width="8.85546875" style="386" bestFit="1" customWidth="1"/>
    <col min="12838" max="12848" width="10.28515625" style="386" customWidth="1"/>
    <col min="12849" max="13088" width="9.140625" style="386"/>
    <col min="13089" max="13089" width="1.7109375" style="386" customWidth="1"/>
    <col min="13090" max="13090" width="19.140625" style="386" customWidth="1"/>
    <col min="13091" max="13091" width="35.140625" style="386" customWidth="1"/>
    <col min="13092" max="13092" width="9.85546875" style="386" bestFit="1" customWidth="1"/>
    <col min="13093" max="13093" width="8.85546875" style="386" bestFit="1" customWidth="1"/>
    <col min="13094" max="13104" width="10.28515625" style="386" customWidth="1"/>
    <col min="13105" max="13344" width="9.140625" style="386"/>
    <col min="13345" max="13345" width="1.7109375" style="386" customWidth="1"/>
    <col min="13346" max="13346" width="19.140625" style="386" customWidth="1"/>
    <col min="13347" max="13347" width="35.140625" style="386" customWidth="1"/>
    <col min="13348" max="13348" width="9.85546875" style="386" bestFit="1" customWidth="1"/>
    <col min="13349" max="13349" width="8.85546875" style="386" bestFit="1" customWidth="1"/>
    <col min="13350" max="13360" width="10.28515625" style="386" customWidth="1"/>
    <col min="13361" max="13600" width="9.140625" style="386"/>
    <col min="13601" max="13601" width="1.7109375" style="386" customWidth="1"/>
    <col min="13602" max="13602" width="19.140625" style="386" customWidth="1"/>
    <col min="13603" max="13603" width="35.140625" style="386" customWidth="1"/>
    <col min="13604" max="13604" width="9.85546875" style="386" bestFit="1" customWidth="1"/>
    <col min="13605" max="13605" width="8.85546875" style="386" bestFit="1" customWidth="1"/>
    <col min="13606" max="13616" width="10.28515625" style="386" customWidth="1"/>
    <col min="13617" max="13856" width="9.140625" style="386"/>
    <col min="13857" max="13857" width="1.7109375" style="386" customWidth="1"/>
    <col min="13858" max="13858" width="19.140625" style="386" customWidth="1"/>
    <col min="13859" max="13859" width="35.140625" style="386" customWidth="1"/>
    <col min="13860" max="13860" width="9.85546875" style="386" bestFit="1" customWidth="1"/>
    <col min="13861" max="13861" width="8.85546875" style="386" bestFit="1" customWidth="1"/>
    <col min="13862" max="13872" width="10.28515625" style="386" customWidth="1"/>
    <col min="13873" max="14112" width="9.140625" style="386"/>
    <col min="14113" max="14113" width="1.7109375" style="386" customWidth="1"/>
    <col min="14114" max="14114" width="19.140625" style="386" customWidth="1"/>
    <col min="14115" max="14115" width="35.140625" style="386" customWidth="1"/>
    <col min="14116" max="14116" width="9.85546875" style="386" bestFit="1" customWidth="1"/>
    <col min="14117" max="14117" width="8.85546875" style="386" bestFit="1" customWidth="1"/>
    <col min="14118" max="14128" width="10.28515625" style="386" customWidth="1"/>
    <col min="14129" max="14368" width="9.140625" style="386"/>
    <col min="14369" max="14369" width="1.7109375" style="386" customWidth="1"/>
    <col min="14370" max="14370" width="19.140625" style="386" customWidth="1"/>
    <col min="14371" max="14371" width="35.140625" style="386" customWidth="1"/>
    <col min="14372" max="14372" width="9.85546875" style="386" bestFit="1" customWidth="1"/>
    <col min="14373" max="14373" width="8.85546875" style="386" bestFit="1" customWidth="1"/>
    <col min="14374" max="14384" width="10.28515625" style="386" customWidth="1"/>
    <col min="14385" max="14624" width="9.140625" style="386"/>
    <col min="14625" max="14625" width="1.7109375" style="386" customWidth="1"/>
    <col min="14626" max="14626" width="19.140625" style="386" customWidth="1"/>
    <col min="14627" max="14627" width="35.140625" style="386" customWidth="1"/>
    <col min="14628" max="14628" width="9.85546875" style="386" bestFit="1" customWidth="1"/>
    <col min="14629" max="14629" width="8.85546875" style="386" bestFit="1" customWidth="1"/>
    <col min="14630" max="14640" width="10.28515625" style="386" customWidth="1"/>
    <col min="14641" max="14880" width="9.140625" style="386"/>
    <col min="14881" max="14881" width="1.7109375" style="386" customWidth="1"/>
    <col min="14882" max="14882" width="19.140625" style="386" customWidth="1"/>
    <col min="14883" max="14883" width="35.140625" style="386" customWidth="1"/>
    <col min="14884" max="14884" width="9.85546875" style="386" bestFit="1" customWidth="1"/>
    <col min="14885" max="14885" width="8.85546875" style="386" bestFit="1" customWidth="1"/>
    <col min="14886" max="14896" width="10.28515625" style="386" customWidth="1"/>
    <col min="14897" max="15136" width="9.140625" style="386"/>
    <col min="15137" max="15137" width="1.7109375" style="386" customWidth="1"/>
    <col min="15138" max="15138" width="19.140625" style="386" customWidth="1"/>
    <col min="15139" max="15139" width="35.140625" style="386" customWidth="1"/>
    <col min="15140" max="15140" width="9.85546875" style="386" bestFit="1" customWidth="1"/>
    <col min="15141" max="15141" width="8.85546875" style="386" bestFit="1" customWidth="1"/>
    <col min="15142" max="15152" width="10.28515625" style="386" customWidth="1"/>
    <col min="15153" max="15392" width="9.140625" style="386"/>
    <col min="15393" max="15393" width="1.7109375" style="386" customWidth="1"/>
    <col min="15394" max="15394" width="19.140625" style="386" customWidth="1"/>
    <col min="15395" max="15395" width="35.140625" style="386" customWidth="1"/>
    <col min="15396" max="15396" width="9.85546875" style="386" bestFit="1" customWidth="1"/>
    <col min="15397" max="15397" width="8.85546875" style="386" bestFit="1" customWidth="1"/>
    <col min="15398" max="15408" width="10.28515625" style="386" customWidth="1"/>
    <col min="15409" max="15648" width="9.140625" style="386"/>
    <col min="15649" max="15649" width="1.7109375" style="386" customWidth="1"/>
    <col min="15650" max="15650" width="19.140625" style="386" customWidth="1"/>
    <col min="15651" max="15651" width="35.140625" style="386" customWidth="1"/>
    <col min="15652" max="15652" width="9.85546875" style="386" bestFit="1" customWidth="1"/>
    <col min="15653" max="15653" width="8.85546875" style="386" bestFit="1" customWidth="1"/>
    <col min="15654" max="15664" width="10.28515625" style="386" customWidth="1"/>
    <col min="15665" max="15904" width="9.140625" style="386"/>
    <col min="15905" max="15905" width="1.7109375" style="386" customWidth="1"/>
    <col min="15906" max="15906" width="19.140625" style="386" customWidth="1"/>
    <col min="15907" max="15907" width="35.140625" style="386" customWidth="1"/>
    <col min="15908" max="15908" width="9.85546875" style="386" bestFit="1" customWidth="1"/>
    <col min="15909" max="15909" width="8.85546875" style="386" bestFit="1" customWidth="1"/>
    <col min="15910" max="15920" width="10.28515625" style="386" customWidth="1"/>
    <col min="15921" max="16160" width="9.140625" style="386"/>
    <col min="16161" max="16161" width="1.7109375" style="386" customWidth="1"/>
    <col min="16162" max="16162" width="19.140625" style="386" customWidth="1"/>
    <col min="16163" max="16163" width="35.140625" style="386" customWidth="1"/>
    <col min="16164" max="16164" width="9.85546875" style="386" bestFit="1" customWidth="1"/>
    <col min="16165" max="16165" width="8.85546875" style="386" bestFit="1" customWidth="1"/>
    <col min="16166" max="16176" width="10.28515625" style="386" customWidth="1"/>
    <col min="16177" max="16384" width="9.140625" style="386"/>
  </cols>
  <sheetData>
    <row r="1" spans="1:49" s="365" customFormat="1" ht="36" customHeight="1" x14ac:dyDescent="0.25">
      <c r="A1" s="363"/>
      <c r="B1" s="363"/>
      <c r="C1" s="363"/>
      <c r="D1" s="694" t="s">
        <v>105</v>
      </c>
      <c r="E1" s="695"/>
      <c r="F1" s="696"/>
      <c r="G1" s="675" t="s">
        <v>369</v>
      </c>
      <c r="H1" s="697"/>
      <c r="I1" s="698"/>
      <c r="J1" s="693" t="s">
        <v>365</v>
      </c>
      <c r="K1" s="676"/>
      <c r="L1" s="677"/>
      <c r="M1" s="675" t="s">
        <v>366</v>
      </c>
      <c r="N1" s="676"/>
      <c r="O1" s="677"/>
      <c r="P1" s="693"/>
      <c r="Q1" s="697"/>
      <c r="R1" s="677"/>
      <c r="S1" s="697"/>
      <c r="T1" s="697"/>
      <c r="U1" s="698"/>
      <c r="V1" s="697"/>
      <c r="W1" s="697"/>
      <c r="X1" s="698"/>
      <c r="Y1" s="697"/>
      <c r="Z1" s="697"/>
      <c r="AA1" s="698"/>
      <c r="AB1" s="693"/>
      <c r="AC1" s="697"/>
      <c r="AD1" s="677"/>
      <c r="AE1" s="693"/>
      <c r="AF1" s="697"/>
      <c r="AG1" s="677"/>
      <c r="AH1" s="678"/>
      <c r="AI1" s="679"/>
      <c r="AJ1" s="680"/>
      <c r="AK1" s="678"/>
      <c r="AL1" s="679"/>
      <c r="AM1" s="680"/>
      <c r="AN1" s="678"/>
      <c r="AO1" s="679"/>
      <c r="AP1" s="680"/>
      <c r="AQ1" s="678"/>
      <c r="AR1" s="679"/>
      <c r="AS1" s="680"/>
      <c r="AT1" s="678"/>
      <c r="AU1" s="679"/>
      <c r="AV1" s="680"/>
      <c r="AW1" s="364"/>
    </row>
    <row r="2" spans="1:49" s="365" customFormat="1" ht="36" customHeight="1" x14ac:dyDescent="0.25">
      <c r="A2" s="363" t="s">
        <v>351</v>
      </c>
      <c r="B2" s="363"/>
      <c r="C2" s="363"/>
      <c r="D2" s="571"/>
      <c r="E2" s="569"/>
      <c r="F2" s="570"/>
      <c r="G2" s="583"/>
      <c r="H2" s="584"/>
      <c r="I2" s="585"/>
      <c r="J2" s="583"/>
      <c r="K2" s="584"/>
      <c r="L2" s="585"/>
      <c r="M2" s="678"/>
      <c r="N2" s="679"/>
      <c r="O2" s="680"/>
      <c r="P2" s="678"/>
      <c r="Q2" s="679"/>
      <c r="R2" s="680"/>
      <c r="S2" s="678"/>
      <c r="T2" s="679"/>
      <c r="U2" s="680"/>
      <c r="V2" s="678"/>
      <c r="W2" s="679"/>
      <c r="X2" s="680"/>
      <c r="Y2" s="678"/>
      <c r="Z2" s="679"/>
      <c r="AA2" s="680"/>
      <c r="AB2" s="678"/>
      <c r="AC2" s="679"/>
      <c r="AD2" s="680"/>
      <c r="AE2" s="678"/>
      <c r="AF2" s="679"/>
      <c r="AG2" s="680"/>
      <c r="AH2" s="678"/>
      <c r="AI2" s="679"/>
      <c r="AJ2" s="680"/>
      <c r="AK2" s="678"/>
      <c r="AL2" s="679"/>
      <c r="AM2" s="680"/>
      <c r="AN2" s="678"/>
      <c r="AO2" s="679"/>
      <c r="AP2" s="680"/>
      <c r="AQ2" s="678"/>
      <c r="AR2" s="679"/>
      <c r="AS2" s="680"/>
      <c r="AT2" s="678"/>
      <c r="AU2" s="679"/>
      <c r="AV2" s="680"/>
      <c r="AW2" s="364"/>
    </row>
    <row r="3" spans="1:49" s="365" customFormat="1" ht="36" customHeight="1" x14ac:dyDescent="0.25">
      <c r="A3" s="363" t="s">
        <v>222</v>
      </c>
      <c r="B3" s="363"/>
      <c r="C3" s="363"/>
      <c r="D3" s="366"/>
      <c r="E3" s="367"/>
      <c r="F3" s="368"/>
      <c r="G3" s="672" t="str">
        <f>'TCO TO BE- SW'!F1</f>
        <v>SAS</v>
      </c>
      <c r="H3" s="673"/>
      <c r="I3" s="674"/>
      <c r="J3" s="672" t="str">
        <f>G3</f>
        <v>SAS</v>
      </c>
      <c r="K3" s="673"/>
      <c r="L3" s="674"/>
      <c r="M3" s="672" t="str">
        <f>G3</f>
        <v>SAS</v>
      </c>
      <c r="N3" s="673"/>
      <c r="O3" s="674"/>
      <c r="P3" s="672"/>
      <c r="Q3" s="673"/>
      <c r="R3" s="674"/>
      <c r="S3" s="672"/>
      <c r="T3" s="673"/>
      <c r="U3" s="674"/>
      <c r="V3" s="672"/>
      <c r="W3" s="673"/>
      <c r="X3" s="674"/>
      <c r="Y3" s="672"/>
      <c r="Z3" s="673"/>
      <c r="AA3" s="674"/>
      <c r="AB3" s="672"/>
      <c r="AC3" s="673"/>
      <c r="AD3" s="674"/>
      <c r="AE3" s="672"/>
      <c r="AF3" s="673"/>
      <c r="AG3" s="674"/>
      <c r="AH3" s="672"/>
      <c r="AI3" s="673"/>
      <c r="AJ3" s="674"/>
      <c r="AK3" s="672"/>
      <c r="AL3" s="673"/>
      <c r="AM3" s="674"/>
      <c r="AN3" s="672"/>
      <c r="AO3" s="673"/>
      <c r="AP3" s="674"/>
      <c r="AQ3" s="672"/>
      <c r="AR3" s="673"/>
      <c r="AS3" s="674"/>
      <c r="AT3" s="672"/>
      <c r="AU3" s="673"/>
      <c r="AV3" s="674"/>
      <c r="AW3" s="364"/>
    </row>
    <row r="4" spans="1:49" s="365" customFormat="1" ht="36" customHeight="1" x14ac:dyDescent="0.25">
      <c r="A4" s="363" t="s">
        <v>223</v>
      </c>
      <c r="B4" s="363"/>
      <c r="C4" s="363"/>
      <c r="D4" s="366"/>
      <c r="E4" s="367"/>
      <c r="F4" s="368"/>
      <c r="G4" s="672"/>
      <c r="H4" s="673"/>
      <c r="I4" s="674"/>
      <c r="J4" s="672"/>
      <c r="K4" s="673"/>
      <c r="L4" s="674"/>
      <c r="M4" s="672"/>
      <c r="N4" s="673"/>
      <c r="O4" s="674"/>
      <c r="P4" s="672"/>
      <c r="Q4" s="673"/>
      <c r="R4" s="674"/>
      <c r="S4" s="672"/>
      <c r="T4" s="673"/>
      <c r="U4" s="674"/>
      <c r="V4" s="672"/>
      <c r="W4" s="673"/>
      <c r="X4" s="674"/>
      <c r="Y4" s="672"/>
      <c r="Z4" s="673"/>
      <c r="AA4" s="674"/>
      <c r="AB4" s="672"/>
      <c r="AC4" s="673"/>
      <c r="AD4" s="674"/>
      <c r="AE4" s="672"/>
      <c r="AF4" s="673"/>
      <c r="AG4" s="674"/>
      <c r="AH4" s="672"/>
      <c r="AI4" s="673"/>
      <c r="AJ4" s="674"/>
      <c r="AK4" s="672"/>
      <c r="AL4" s="673"/>
      <c r="AM4" s="674"/>
      <c r="AN4" s="672"/>
      <c r="AO4" s="673"/>
      <c r="AP4" s="674"/>
      <c r="AQ4" s="672"/>
      <c r="AR4" s="673"/>
      <c r="AS4" s="674"/>
      <c r="AT4" s="672"/>
      <c r="AU4" s="673"/>
      <c r="AV4" s="674"/>
      <c r="AW4" s="364"/>
    </row>
    <row r="5" spans="1:49" s="378" customFormat="1" ht="15.75" customHeight="1" thickBot="1" x14ac:dyDescent="0.3">
      <c r="A5" s="369" t="s">
        <v>40</v>
      </c>
      <c r="B5" s="369" t="s">
        <v>10</v>
      </c>
      <c r="C5" s="370" t="s">
        <v>23</v>
      </c>
      <c r="D5" s="371" t="s">
        <v>227</v>
      </c>
      <c r="E5" s="372" t="s">
        <v>168</v>
      </c>
      <c r="F5" s="373" t="s">
        <v>157</v>
      </c>
      <c r="G5" s="376" t="s">
        <v>227</v>
      </c>
      <c r="H5" s="374" t="s">
        <v>168</v>
      </c>
      <c r="I5" s="375" t="s">
        <v>157</v>
      </c>
      <c r="J5" s="376" t="s">
        <v>227</v>
      </c>
      <c r="K5" s="374" t="s">
        <v>168</v>
      </c>
      <c r="L5" s="375" t="s">
        <v>157</v>
      </c>
      <c r="M5" s="376" t="s">
        <v>227</v>
      </c>
      <c r="N5" s="374" t="s">
        <v>168</v>
      </c>
      <c r="O5" s="375" t="s">
        <v>157</v>
      </c>
      <c r="P5" s="376"/>
      <c r="Q5" s="374"/>
      <c r="R5" s="375"/>
      <c r="S5" s="376"/>
      <c r="T5" s="374"/>
      <c r="U5" s="375"/>
      <c r="V5" s="376"/>
      <c r="W5" s="374"/>
      <c r="X5" s="375"/>
      <c r="Y5" s="376"/>
      <c r="Z5" s="374"/>
      <c r="AA5" s="375"/>
      <c r="AB5" s="376"/>
      <c r="AC5" s="374"/>
      <c r="AD5" s="375"/>
      <c r="AE5" s="376"/>
      <c r="AF5" s="374"/>
      <c r="AG5" s="375"/>
      <c r="AH5" s="376"/>
      <c r="AI5" s="374"/>
      <c r="AJ5" s="375"/>
      <c r="AK5" s="376"/>
      <c r="AL5" s="374"/>
      <c r="AM5" s="375"/>
      <c r="AN5" s="376"/>
      <c r="AO5" s="374"/>
      <c r="AP5" s="375"/>
      <c r="AQ5" s="376"/>
      <c r="AR5" s="374"/>
      <c r="AS5" s="375"/>
      <c r="AT5" s="376"/>
      <c r="AU5" s="374"/>
      <c r="AV5" s="375"/>
      <c r="AW5" s="377"/>
    </row>
    <row r="6" spans="1:49" ht="14.45" customHeight="1" x14ac:dyDescent="0.25">
      <c r="A6" s="687" t="s">
        <v>318</v>
      </c>
      <c r="B6" s="690" t="s">
        <v>37</v>
      </c>
      <c r="C6" s="379" t="s">
        <v>25</v>
      </c>
      <c r="D6" s="380">
        <f t="shared" ref="D6:F7" si="0">G6+J6+M6+P6+S6+V6+Y6+AB6+AE6+AH6+AK6+AN6+AQ6+AT6</f>
        <v>27715</v>
      </c>
      <c r="E6" s="381">
        <f t="shared" si="0"/>
        <v>27715</v>
      </c>
      <c r="F6" s="382">
        <f t="shared" si="0"/>
        <v>0</v>
      </c>
      <c r="G6" s="578">
        <v>18452</v>
      </c>
      <c r="H6" s="578">
        <v>18452</v>
      </c>
      <c r="I6" s="579">
        <f>H6-G6</f>
        <v>0</v>
      </c>
      <c r="J6" s="391">
        <v>8256</v>
      </c>
      <c r="K6" s="391">
        <v>8256</v>
      </c>
      <c r="L6" s="393">
        <f>K6-J6</f>
        <v>0</v>
      </c>
      <c r="M6" s="391">
        <v>1007</v>
      </c>
      <c r="N6" s="391">
        <v>1007</v>
      </c>
      <c r="O6" s="581">
        <f>N6-M6</f>
        <v>0</v>
      </c>
      <c r="P6" s="578"/>
      <c r="Q6" s="580"/>
      <c r="R6" s="581"/>
      <c r="S6" s="578"/>
      <c r="T6" s="578"/>
      <c r="U6" s="581"/>
      <c r="V6" s="578"/>
      <c r="W6" s="578"/>
      <c r="X6" s="581"/>
      <c r="Y6" s="578"/>
      <c r="Z6" s="578"/>
      <c r="AA6" s="581"/>
      <c r="AB6" s="578"/>
      <c r="AC6" s="580"/>
      <c r="AD6" s="581"/>
      <c r="AE6" s="578"/>
      <c r="AF6" s="580"/>
      <c r="AG6" s="581"/>
      <c r="AH6" s="383"/>
      <c r="AI6" s="383"/>
      <c r="AJ6" s="384"/>
      <c r="AK6" s="383"/>
      <c r="AL6" s="383"/>
      <c r="AM6" s="384"/>
      <c r="AN6" s="383"/>
      <c r="AO6" s="383"/>
      <c r="AP6" s="384"/>
      <c r="AQ6" s="383"/>
      <c r="AR6" s="383"/>
      <c r="AS6" s="384"/>
      <c r="AT6" s="383"/>
      <c r="AU6" s="383"/>
      <c r="AV6" s="384"/>
      <c r="AW6" s="385">
        <v>0</v>
      </c>
    </row>
    <row r="7" spans="1:49" x14ac:dyDescent="0.25">
      <c r="A7" s="688"/>
      <c r="B7" s="691"/>
      <c r="C7" s="387" t="s">
        <v>26</v>
      </c>
      <c r="D7" s="388">
        <f t="shared" si="0"/>
        <v>27735.14</v>
      </c>
      <c r="E7" s="389">
        <f t="shared" si="0"/>
        <v>27735.14</v>
      </c>
      <c r="F7" s="390">
        <f t="shared" si="0"/>
        <v>0</v>
      </c>
      <c r="G7" s="391">
        <v>18452</v>
      </c>
      <c r="H7" s="391">
        <v>18452</v>
      </c>
      <c r="I7" s="393">
        <f t="shared" ref="I7:I25" si="1">H7-G7</f>
        <v>0</v>
      </c>
      <c r="J7" s="391">
        <v>8256</v>
      </c>
      <c r="K7" s="391">
        <v>8256</v>
      </c>
      <c r="L7" s="393">
        <f t="shared" ref="L7:L25" si="2">K7-J7</f>
        <v>0</v>
      </c>
      <c r="M7" s="391">
        <f t="shared" ref="M7:N7" si="3">M6*1.02</f>
        <v>1027.1400000000001</v>
      </c>
      <c r="N7" s="391">
        <f t="shared" si="3"/>
        <v>1027.1400000000001</v>
      </c>
      <c r="O7" s="393">
        <f t="shared" ref="O7:O25" si="4">N7-M7</f>
        <v>0</v>
      </c>
      <c r="P7" s="574"/>
      <c r="Q7" s="574"/>
      <c r="R7" s="393"/>
      <c r="S7" s="391"/>
      <c r="T7" s="391"/>
      <c r="U7" s="393"/>
      <c r="V7" s="391"/>
      <c r="W7" s="391"/>
      <c r="X7" s="393"/>
      <c r="Y7" s="391"/>
      <c r="Z7" s="391"/>
      <c r="AA7" s="393"/>
      <c r="AB7" s="573"/>
      <c r="AC7" s="573"/>
      <c r="AD7" s="393"/>
      <c r="AE7" s="574"/>
      <c r="AF7" s="574"/>
      <c r="AG7" s="393"/>
      <c r="AH7" s="574"/>
      <c r="AI7" s="574"/>
      <c r="AJ7" s="393"/>
      <c r="AK7" s="574"/>
      <c r="AL7" s="574"/>
      <c r="AM7" s="393"/>
      <c r="AN7" s="574"/>
      <c r="AO7" s="574"/>
      <c r="AP7" s="393"/>
      <c r="AQ7" s="574"/>
      <c r="AR7" s="574"/>
      <c r="AS7" s="393"/>
      <c r="AT7" s="574"/>
      <c r="AU7" s="574"/>
      <c r="AV7" s="393"/>
      <c r="AW7" s="385"/>
    </row>
    <row r="8" spans="1:49" x14ac:dyDescent="0.25">
      <c r="A8" s="688"/>
      <c r="B8" s="691"/>
      <c r="C8" s="387" t="s">
        <v>27</v>
      </c>
      <c r="D8" s="388">
        <f t="shared" ref="D8:D15" si="5">G8+J8+M8+P8+S8+V8+Y8+AB8+AE8+AH8+AK8+AN8+AQ8+AT8</f>
        <v>27755.682799999999</v>
      </c>
      <c r="E8" s="389">
        <f t="shared" ref="E8:E15" si="6">H8+K8+N8+Q8+T8+W8+Z8+AC8+AF8+AI8+AL8+AO8+AR8+AU8</f>
        <v>27755.682799999999</v>
      </c>
      <c r="F8" s="390">
        <f t="shared" ref="F8:F15" si="7">I8+L8+O8+R8+U8+X8+AA8+AD8+AG8+AJ8+AM8+AP8+AS8+AV8</f>
        <v>0</v>
      </c>
      <c r="G8" s="391">
        <v>18452</v>
      </c>
      <c r="H8" s="391">
        <v>18452</v>
      </c>
      <c r="I8" s="393">
        <f t="shared" si="1"/>
        <v>0</v>
      </c>
      <c r="J8" s="391">
        <v>8256</v>
      </c>
      <c r="K8" s="391">
        <v>8256</v>
      </c>
      <c r="L8" s="393">
        <f t="shared" si="2"/>
        <v>0</v>
      </c>
      <c r="M8" s="391">
        <f t="shared" ref="M8:N8" si="8">M7*1.02</f>
        <v>1047.6828</v>
      </c>
      <c r="N8" s="391">
        <f t="shared" si="8"/>
        <v>1047.6828</v>
      </c>
      <c r="O8" s="393">
        <f t="shared" si="4"/>
        <v>0</v>
      </c>
      <c r="P8" s="574"/>
      <c r="Q8" s="574"/>
      <c r="R8" s="393"/>
      <c r="S8" s="391"/>
      <c r="T8" s="391"/>
      <c r="U8" s="393"/>
      <c r="V8" s="391"/>
      <c r="W8" s="391"/>
      <c r="X8" s="393"/>
      <c r="Y8" s="391"/>
      <c r="Z8" s="391"/>
      <c r="AA8" s="393"/>
      <c r="AB8" s="573"/>
      <c r="AC8" s="573"/>
      <c r="AD8" s="393"/>
      <c r="AE8" s="574"/>
      <c r="AF8" s="574"/>
      <c r="AG8" s="393"/>
      <c r="AH8" s="574"/>
      <c r="AI8" s="574"/>
      <c r="AJ8" s="393"/>
      <c r="AK8" s="574"/>
      <c r="AL8" s="574"/>
      <c r="AM8" s="393"/>
      <c r="AN8" s="574"/>
      <c r="AO8" s="574"/>
      <c r="AP8" s="393"/>
      <c r="AQ8" s="574"/>
      <c r="AR8" s="574"/>
      <c r="AS8" s="393"/>
      <c r="AT8" s="574"/>
      <c r="AU8" s="574"/>
      <c r="AV8" s="393"/>
      <c r="AW8" s="385"/>
    </row>
    <row r="9" spans="1:49" x14ac:dyDescent="0.25">
      <c r="A9" s="688"/>
      <c r="B9" s="691"/>
      <c r="C9" s="387" t="s">
        <v>28</v>
      </c>
      <c r="D9" s="388">
        <f t="shared" si="5"/>
        <v>0</v>
      </c>
      <c r="E9" s="389">
        <f t="shared" si="6"/>
        <v>0</v>
      </c>
      <c r="F9" s="390">
        <f t="shared" si="7"/>
        <v>0</v>
      </c>
      <c r="G9" s="391"/>
      <c r="H9" s="391"/>
      <c r="I9" s="393">
        <f t="shared" si="1"/>
        <v>0</v>
      </c>
      <c r="J9" s="391"/>
      <c r="K9" s="391"/>
      <c r="L9" s="393">
        <f t="shared" si="2"/>
        <v>0</v>
      </c>
      <c r="M9" s="391"/>
      <c r="N9" s="391"/>
      <c r="O9" s="393">
        <f t="shared" si="4"/>
        <v>0</v>
      </c>
      <c r="P9" s="574"/>
      <c r="Q9" s="574"/>
      <c r="R9" s="393"/>
      <c r="S9" s="391"/>
      <c r="T9" s="391"/>
      <c r="U9" s="393"/>
      <c r="V9" s="391"/>
      <c r="W9" s="391"/>
      <c r="X9" s="393"/>
      <c r="Y9" s="391"/>
      <c r="Z9" s="391"/>
      <c r="AA9" s="393"/>
      <c r="AB9" s="573"/>
      <c r="AC9" s="573"/>
      <c r="AD9" s="393"/>
      <c r="AE9" s="574"/>
      <c r="AF9" s="574"/>
      <c r="AG9" s="393"/>
      <c r="AH9" s="574"/>
      <c r="AI9" s="574"/>
      <c r="AJ9" s="393"/>
      <c r="AK9" s="574"/>
      <c r="AL9" s="574"/>
      <c r="AM9" s="393"/>
      <c r="AN9" s="574"/>
      <c r="AO9" s="574"/>
      <c r="AP9" s="393"/>
      <c r="AQ9" s="574"/>
      <c r="AR9" s="574"/>
      <c r="AS9" s="393"/>
      <c r="AT9" s="574"/>
      <c r="AU9" s="574"/>
      <c r="AV9" s="393"/>
      <c r="AW9" s="385"/>
    </row>
    <row r="10" spans="1:49" x14ac:dyDescent="0.25">
      <c r="A10" s="688"/>
      <c r="B10" s="691"/>
      <c r="C10" s="387" t="s">
        <v>29</v>
      </c>
      <c r="D10" s="388">
        <f t="shared" si="5"/>
        <v>0</v>
      </c>
      <c r="E10" s="389">
        <f t="shared" si="6"/>
        <v>0</v>
      </c>
      <c r="F10" s="390">
        <f t="shared" si="7"/>
        <v>0</v>
      </c>
      <c r="G10" s="391"/>
      <c r="H10" s="391"/>
      <c r="I10" s="393">
        <f t="shared" si="1"/>
        <v>0</v>
      </c>
      <c r="J10" s="391"/>
      <c r="K10" s="391"/>
      <c r="L10" s="393">
        <f t="shared" si="2"/>
        <v>0</v>
      </c>
      <c r="M10" s="391"/>
      <c r="N10" s="391"/>
      <c r="O10" s="393">
        <f t="shared" si="4"/>
        <v>0</v>
      </c>
      <c r="P10" s="574"/>
      <c r="Q10" s="574"/>
      <c r="R10" s="393"/>
      <c r="S10" s="391"/>
      <c r="T10" s="391"/>
      <c r="U10" s="393"/>
      <c r="V10" s="391"/>
      <c r="W10" s="391"/>
      <c r="X10" s="393"/>
      <c r="Y10" s="391"/>
      <c r="Z10" s="391"/>
      <c r="AA10" s="393"/>
      <c r="AB10" s="573"/>
      <c r="AC10" s="573"/>
      <c r="AD10" s="393"/>
      <c r="AE10" s="574"/>
      <c r="AF10" s="574"/>
      <c r="AG10" s="393"/>
      <c r="AH10" s="574"/>
      <c r="AI10" s="574"/>
      <c r="AJ10" s="393"/>
      <c r="AK10" s="574"/>
      <c r="AL10" s="574"/>
      <c r="AM10" s="393"/>
      <c r="AN10" s="574"/>
      <c r="AO10" s="574"/>
      <c r="AP10" s="393"/>
      <c r="AQ10" s="574"/>
      <c r="AR10" s="574"/>
      <c r="AS10" s="393"/>
      <c r="AT10" s="574"/>
      <c r="AU10" s="574"/>
      <c r="AV10" s="393"/>
      <c r="AW10" s="385"/>
    </row>
    <row r="11" spans="1:49" x14ac:dyDescent="0.25">
      <c r="A11" s="688"/>
      <c r="B11" s="691"/>
      <c r="C11" s="387" t="s">
        <v>30</v>
      </c>
      <c r="D11" s="388">
        <f t="shared" si="5"/>
        <v>0</v>
      </c>
      <c r="E11" s="389">
        <f t="shared" si="6"/>
        <v>0</v>
      </c>
      <c r="F11" s="390">
        <f t="shared" si="7"/>
        <v>0</v>
      </c>
      <c r="G11" s="391"/>
      <c r="H11" s="391"/>
      <c r="I11" s="393">
        <f t="shared" si="1"/>
        <v>0</v>
      </c>
      <c r="J11" s="391"/>
      <c r="K11" s="391"/>
      <c r="L11" s="393">
        <f t="shared" si="2"/>
        <v>0</v>
      </c>
      <c r="M11" s="391"/>
      <c r="N11" s="391"/>
      <c r="O11" s="393">
        <f t="shared" si="4"/>
        <v>0</v>
      </c>
      <c r="P11" s="574"/>
      <c r="Q11" s="574"/>
      <c r="R11" s="393"/>
      <c r="S11" s="391"/>
      <c r="T11" s="391"/>
      <c r="U11" s="393"/>
      <c r="V11" s="391"/>
      <c r="W11" s="391"/>
      <c r="X11" s="393"/>
      <c r="Y11" s="391"/>
      <c r="Z11" s="391"/>
      <c r="AA11" s="393"/>
      <c r="AB11" s="573"/>
      <c r="AC11" s="573"/>
      <c r="AD11" s="393"/>
      <c r="AE11" s="574"/>
      <c r="AF11" s="574"/>
      <c r="AG11" s="393"/>
      <c r="AH11" s="574"/>
      <c r="AI11" s="574"/>
      <c r="AJ11" s="393"/>
      <c r="AK11" s="574"/>
      <c r="AL11" s="574"/>
      <c r="AM11" s="393"/>
      <c r="AN11" s="574"/>
      <c r="AO11" s="574"/>
      <c r="AP11" s="393"/>
      <c r="AQ11" s="574"/>
      <c r="AR11" s="574"/>
      <c r="AS11" s="393"/>
      <c r="AT11" s="574"/>
      <c r="AU11" s="574"/>
      <c r="AV11" s="393"/>
      <c r="AW11" s="385"/>
    </row>
    <row r="12" spans="1:49" x14ac:dyDescent="0.25">
      <c r="A12" s="688"/>
      <c r="B12" s="691"/>
      <c r="C12" s="387" t="s">
        <v>31</v>
      </c>
      <c r="D12" s="388">
        <f t="shared" si="5"/>
        <v>0</v>
      </c>
      <c r="E12" s="389">
        <f t="shared" si="6"/>
        <v>0</v>
      </c>
      <c r="F12" s="390">
        <f t="shared" si="7"/>
        <v>0</v>
      </c>
      <c r="G12" s="391"/>
      <c r="H12" s="391"/>
      <c r="I12" s="393">
        <f t="shared" si="1"/>
        <v>0</v>
      </c>
      <c r="J12" s="391"/>
      <c r="K12" s="391"/>
      <c r="L12" s="393">
        <f t="shared" si="2"/>
        <v>0</v>
      </c>
      <c r="M12" s="391"/>
      <c r="N12" s="391"/>
      <c r="O12" s="393">
        <f t="shared" si="4"/>
        <v>0</v>
      </c>
      <c r="P12" s="574"/>
      <c r="Q12" s="574"/>
      <c r="R12" s="393"/>
      <c r="S12" s="391"/>
      <c r="T12" s="391"/>
      <c r="U12" s="393"/>
      <c r="V12" s="391"/>
      <c r="W12" s="391"/>
      <c r="X12" s="393"/>
      <c r="Y12" s="391"/>
      <c r="Z12" s="391"/>
      <c r="AA12" s="393"/>
      <c r="AB12" s="573"/>
      <c r="AC12" s="573"/>
      <c r="AD12" s="393"/>
      <c r="AE12" s="574"/>
      <c r="AF12" s="574"/>
      <c r="AG12" s="393"/>
      <c r="AH12" s="574"/>
      <c r="AI12" s="574"/>
      <c r="AJ12" s="393"/>
      <c r="AK12" s="574"/>
      <c r="AL12" s="574"/>
      <c r="AM12" s="393"/>
      <c r="AN12" s="574"/>
      <c r="AO12" s="574"/>
      <c r="AP12" s="393"/>
      <c r="AQ12" s="574"/>
      <c r="AR12" s="574"/>
      <c r="AS12" s="393"/>
      <c r="AT12" s="574"/>
      <c r="AU12" s="574"/>
      <c r="AV12" s="393"/>
      <c r="AW12" s="385"/>
    </row>
    <row r="13" spans="1:49" x14ac:dyDescent="0.25">
      <c r="A13" s="688"/>
      <c r="B13" s="691"/>
      <c r="C13" s="387" t="s">
        <v>32</v>
      </c>
      <c r="D13" s="388">
        <f t="shared" si="5"/>
        <v>0</v>
      </c>
      <c r="E13" s="389">
        <f t="shared" si="6"/>
        <v>0</v>
      </c>
      <c r="F13" s="390">
        <f t="shared" si="7"/>
        <v>0</v>
      </c>
      <c r="G13" s="391"/>
      <c r="H13" s="391"/>
      <c r="I13" s="393">
        <f t="shared" si="1"/>
        <v>0</v>
      </c>
      <c r="J13" s="391"/>
      <c r="K13" s="391"/>
      <c r="L13" s="393">
        <f t="shared" si="2"/>
        <v>0</v>
      </c>
      <c r="M13" s="391"/>
      <c r="N13" s="391"/>
      <c r="O13" s="393">
        <f t="shared" si="4"/>
        <v>0</v>
      </c>
      <c r="P13" s="574"/>
      <c r="Q13" s="574"/>
      <c r="R13" s="393"/>
      <c r="S13" s="391"/>
      <c r="T13" s="391"/>
      <c r="U13" s="393"/>
      <c r="V13" s="391"/>
      <c r="W13" s="391"/>
      <c r="X13" s="393"/>
      <c r="Y13" s="391"/>
      <c r="Z13" s="391"/>
      <c r="AA13" s="393"/>
      <c r="AB13" s="573"/>
      <c r="AC13" s="573"/>
      <c r="AD13" s="393"/>
      <c r="AE13" s="574"/>
      <c r="AF13" s="574"/>
      <c r="AG13" s="393"/>
      <c r="AH13" s="574"/>
      <c r="AI13" s="574"/>
      <c r="AJ13" s="393"/>
      <c r="AK13" s="574"/>
      <c r="AL13" s="574"/>
      <c r="AM13" s="393"/>
      <c r="AN13" s="574"/>
      <c r="AO13" s="574"/>
      <c r="AP13" s="393"/>
      <c r="AQ13" s="574"/>
      <c r="AR13" s="574"/>
      <c r="AS13" s="393"/>
      <c r="AT13" s="574"/>
      <c r="AU13" s="574"/>
      <c r="AV13" s="393"/>
      <c r="AW13" s="385"/>
    </row>
    <row r="14" spans="1:49" x14ac:dyDescent="0.25">
      <c r="A14" s="688"/>
      <c r="B14" s="691"/>
      <c r="C14" s="387" t="s">
        <v>33</v>
      </c>
      <c r="D14" s="388">
        <f t="shared" si="5"/>
        <v>0</v>
      </c>
      <c r="E14" s="389">
        <f t="shared" si="6"/>
        <v>0</v>
      </c>
      <c r="F14" s="390">
        <f t="shared" si="7"/>
        <v>0</v>
      </c>
      <c r="G14" s="391"/>
      <c r="H14" s="391"/>
      <c r="I14" s="393">
        <f t="shared" si="1"/>
        <v>0</v>
      </c>
      <c r="J14" s="391"/>
      <c r="K14" s="391"/>
      <c r="L14" s="393">
        <f t="shared" si="2"/>
        <v>0</v>
      </c>
      <c r="M14" s="391"/>
      <c r="N14" s="391"/>
      <c r="O14" s="393">
        <f t="shared" si="4"/>
        <v>0</v>
      </c>
      <c r="P14" s="574"/>
      <c r="Q14" s="574"/>
      <c r="R14" s="393"/>
      <c r="S14" s="391"/>
      <c r="T14" s="391"/>
      <c r="U14" s="393"/>
      <c r="V14" s="391"/>
      <c r="W14" s="391"/>
      <c r="X14" s="393"/>
      <c r="Y14" s="391"/>
      <c r="Z14" s="391"/>
      <c r="AA14" s="393"/>
      <c r="AB14" s="573"/>
      <c r="AC14" s="573"/>
      <c r="AD14" s="393"/>
      <c r="AE14" s="574"/>
      <c r="AF14" s="574"/>
      <c r="AG14" s="393"/>
      <c r="AH14" s="574"/>
      <c r="AI14" s="574"/>
      <c r="AJ14" s="393"/>
      <c r="AK14" s="574"/>
      <c r="AL14" s="574"/>
      <c r="AM14" s="393"/>
      <c r="AN14" s="574"/>
      <c r="AO14" s="574"/>
      <c r="AP14" s="393"/>
      <c r="AQ14" s="574"/>
      <c r="AR14" s="574"/>
      <c r="AS14" s="393"/>
      <c r="AT14" s="574"/>
      <c r="AU14" s="574"/>
      <c r="AV14" s="393"/>
      <c r="AW14" s="385"/>
    </row>
    <row r="15" spans="1:49" ht="15.75" thickBot="1" x14ac:dyDescent="0.3">
      <c r="A15" s="689"/>
      <c r="B15" s="692"/>
      <c r="C15" s="394" t="s">
        <v>34</v>
      </c>
      <c r="D15" s="388">
        <f t="shared" si="5"/>
        <v>0</v>
      </c>
      <c r="E15" s="389">
        <f t="shared" si="6"/>
        <v>0</v>
      </c>
      <c r="F15" s="390">
        <f t="shared" si="7"/>
        <v>0</v>
      </c>
      <c r="G15" s="391"/>
      <c r="H15" s="391"/>
      <c r="I15" s="399">
        <f t="shared" si="1"/>
        <v>0</v>
      </c>
      <c r="J15" s="391"/>
      <c r="K15" s="391"/>
      <c r="L15" s="399">
        <f t="shared" si="2"/>
        <v>0</v>
      </c>
      <c r="M15" s="391"/>
      <c r="N15" s="391"/>
      <c r="O15" s="399">
        <f t="shared" si="4"/>
        <v>0</v>
      </c>
      <c r="P15" s="574"/>
      <c r="Q15" s="574"/>
      <c r="R15" s="399"/>
      <c r="S15" s="391"/>
      <c r="T15" s="391"/>
      <c r="U15" s="399"/>
      <c r="V15" s="391"/>
      <c r="W15" s="391"/>
      <c r="X15" s="399"/>
      <c r="Y15" s="391"/>
      <c r="Z15" s="391"/>
      <c r="AA15" s="399"/>
      <c r="AB15" s="573"/>
      <c r="AC15" s="573"/>
      <c r="AD15" s="399"/>
      <c r="AE15" s="574"/>
      <c r="AF15" s="574"/>
      <c r="AG15" s="399"/>
      <c r="AH15" s="574"/>
      <c r="AI15" s="574"/>
      <c r="AJ15" s="399"/>
      <c r="AK15" s="574"/>
      <c r="AL15" s="574"/>
      <c r="AM15" s="399"/>
      <c r="AN15" s="574"/>
      <c r="AO15" s="574"/>
      <c r="AP15" s="399"/>
      <c r="AQ15" s="574"/>
      <c r="AR15" s="574"/>
      <c r="AS15" s="399"/>
      <c r="AT15" s="574"/>
      <c r="AU15" s="574"/>
      <c r="AV15" s="399"/>
      <c r="AW15" s="385"/>
    </row>
    <row r="16" spans="1:49" ht="15" customHeight="1" x14ac:dyDescent="0.25">
      <c r="A16" s="687" t="s">
        <v>191</v>
      </c>
      <c r="B16" s="690" t="s">
        <v>13</v>
      </c>
      <c r="C16" s="379" t="s">
        <v>25</v>
      </c>
      <c r="D16" s="400"/>
      <c r="E16" s="401"/>
      <c r="F16" s="402"/>
      <c r="G16" s="404"/>
      <c r="H16" s="404"/>
      <c r="I16" s="405">
        <f t="shared" si="1"/>
        <v>0</v>
      </c>
      <c r="J16" s="404"/>
      <c r="K16" s="404"/>
      <c r="L16" s="405">
        <f t="shared" si="2"/>
        <v>0</v>
      </c>
      <c r="M16" s="404"/>
      <c r="N16" s="404"/>
      <c r="O16" s="405">
        <f t="shared" si="4"/>
        <v>0</v>
      </c>
      <c r="P16" s="404"/>
      <c r="Q16" s="404"/>
      <c r="R16" s="405"/>
      <c r="S16" s="404"/>
      <c r="T16" s="404"/>
      <c r="U16" s="405"/>
      <c r="V16" s="404"/>
      <c r="W16" s="404"/>
      <c r="X16" s="405"/>
      <c r="Y16" s="404"/>
      <c r="Z16" s="404"/>
      <c r="AA16" s="405"/>
      <c r="AB16" s="404"/>
      <c r="AC16" s="404"/>
      <c r="AD16" s="405"/>
      <c r="AE16" s="404"/>
      <c r="AF16" s="404"/>
      <c r="AG16" s="405"/>
      <c r="AH16" s="404"/>
      <c r="AI16" s="404"/>
      <c r="AJ16" s="405"/>
      <c r="AK16" s="404"/>
      <c r="AL16" s="404"/>
      <c r="AM16" s="405"/>
      <c r="AN16" s="404"/>
      <c r="AO16" s="404"/>
      <c r="AP16" s="405"/>
      <c r="AQ16" s="404"/>
      <c r="AR16" s="404"/>
      <c r="AS16" s="405"/>
      <c r="AT16" s="404"/>
      <c r="AU16" s="404"/>
      <c r="AV16" s="405"/>
      <c r="AW16" s="385"/>
    </row>
    <row r="17" spans="1:49" x14ac:dyDescent="0.25">
      <c r="A17" s="688"/>
      <c r="B17" s="691"/>
      <c r="C17" s="387" t="s">
        <v>26</v>
      </c>
      <c r="D17" s="406"/>
      <c r="E17" s="407"/>
      <c r="F17" s="408"/>
      <c r="G17" s="410"/>
      <c r="H17" s="410"/>
      <c r="I17" s="411">
        <f t="shared" si="1"/>
        <v>0</v>
      </c>
      <c r="J17" s="410"/>
      <c r="K17" s="410"/>
      <c r="L17" s="411">
        <f t="shared" si="2"/>
        <v>0</v>
      </c>
      <c r="M17" s="410"/>
      <c r="N17" s="410"/>
      <c r="O17" s="411">
        <f t="shared" si="4"/>
        <v>0</v>
      </c>
      <c r="P17" s="410"/>
      <c r="Q17" s="410"/>
      <c r="R17" s="411"/>
      <c r="S17" s="410"/>
      <c r="T17" s="410"/>
      <c r="U17" s="411"/>
      <c r="V17" s="410"/>
      <c r="W17" s="410"/>
      <c r="X17" s="411"/>
      <c r="Y17" s="410"/>
      <c r="Z17" s="410"/>
      <c r="AA17" s="411"/>
      <c r="AB17" s="410"/>
      <c r="AC17" s="410"/>
      <c r="AD17" s="411"/>
      <c r="AE17" s="410"/>
      <c r="AF17" s="410"/>
      <c r="AG17" s="411"/>
      <c r="AH17" s="410"/>
      <c r="AI17" s="410"/>
      <c r="AJ17" s="411"/>
      <c r="AK17" s="410"/>
      <c r="AL17" s="410"/>
      <c r="AM17" s="411"/>
      <c r="AN17" s="410"/>
      <c r="AO17" s="410"/>
      <c r="AP17" s="411"/>
      <c r="AQ17" s="410"/>
      <c r="AR17" s="410"/>
      <c r="AS17" s="411"/>
      <c r="AT17" s="410"/>
      <c r="AU17" s="410"/>
      <c r="AV17" s="411"/>
      <c r="AW17" s="385"/>
    </row>
    <row r="18" spans="1:49" x14ac:dyDescent="0.25">
      <c r="A18" s="688"/>
      <c r="B18" s="691"/>
      <c r="C18" s="387" t="s">
        <v>27</v>
      </c>
      <c r="D18" s="406"/>
      <c r="E18" s="407"/>
      <c r="F18" s="408"/>
      <c r="G18" s="410"/>
      <c r="H18" s="410"/>
      <c r="I18" s="411">
        <f t="shared" si="1"/>
        <v>0</v>
      </c>
      <c r="J18" s="410"/>
      <c r="K18" s="410"/>
      <c r="L18" s="411">
        <f t="shared" si="2"/>
        <v>0</v>
      </c>
      <c r="M18" s="410"/>
      <c r="N18" s="410"/>
      <c r="O18" s="411">
        <f t="shared" si="4"/>
        <v>0</v>
      </c>
      <c r="P18" s="410"/>
      <c r="Q18" s="410"/>
      <c r="R18" s="411"/>
      <c r="S18" s="410"/>
      <c r="T18" s="410"/>
      <c r="U18" s="411"/>
      <c r="V18" s="410"/>
      <c r="W18" s="410"/>
      <c r="X18" s="411"/>
      <c r="Y18" s="410"/>
      <c r="Z18" s="410"/>
      <c r="AA18" s="411"/>
      <c r="AB18" s="410"/>
      <c r="AC18" s="410"/>
      <c r="AD18" s="411"/>
      <c r="AE18" s="410"/>
      <c r="AF18" s="410"/>
      <c r="AG18" s="411"/>
      <c r="AH18" s="410"/>
      <c r="AI18" s="410"/>
      <c r="AJ18" s="411"/>
      <c r="AK18" s="410"/>
      <c r="AL18" s="410"/>
      <c r="AM18" s="411"/>
      <c r="AN18" s="410"/>
      <c r="AO18" s="410"/>
      <c r="AP18" s="411"/>
      <c r="AQ18" s="410"/>
      <c r="AR18" s="410"/>
      <c r="AS18" s="411"/>
      <c r="AT18" s="410"/>
      <c r="AU18" s="410"/>
      <c r="AV18" s="411"/>
      <c r="AW18" s="385"/>
    </row>
    <row r="19" spans="1:49" x14ac:dyDescent="0.25">
      <c r="A19" s="688"/>
      <c r="B19" s="691"/>
      <c r="C19" s="387" t="s">
        <v>28</v>
      </c>
      <c r="D19" s="406"/>
      <c r="E19" s="407"/>
      <c r="F19" s="408"/>
      <c r="G19" s="410"/>
      <c r="H19" s="410"/>
      <c r="I19" s="411">
        <f t="shared" si="1"/>
        <v>0</v>
      </c>
      <c r="J19" s="410"/>
      <c r="K19" s="410"/>
      <c r="L19" s="411">
        <f t="shared" si="2"/>
        <v>0</v>
      </c>
      <c r="M19" s="410"/>
      <c r="N19" s="410"/>
      <c r="O19" s="411">
        <f t="shared" si="4"/>
        <v>0</v>
      </c>
      <c r="P19" s="410"/>
      <c r="Q19" s="410"/>
      <c r="R19" s="411"/>
      <c r="S19" s="410"/>
      <c r="T19" s="410"/>
      <c r="U19" s="411"/>
      <c r="V19" s="410"/>
      <c r="W19" s="410"/>
      <c r="X19" s="411"/>
      <c r="Y19" s="410"/>
      <c r="Z19" s="410"/>
      <c r="AA19" s="411"/>
      <c r="AB19" s="410"/>
      <c r="AC19" s="410"/>
      <c r="AD19" s="411"/>
      <c r="AE19" s="410"/>
      <c r="AF19" s="410"/>
      <c r="AG19" s="411"/>
      <c r="AH19" s="410"/>
      <c r="AI19" s="410"/>
      <c r="AJ19" s="411"/>
      <c r="AK19" s="410"/>
      <c r="AL19" s="410"/>
      <c r="AM19" s="411"/>
      <c r="AN19" s="410"/>
      <c r="AO19" s="410"/>
      <c r="AP19" s="411"/>
      <c r="AQ19" s="410"/>
      <c r="AR19" s="410"/>
      <c r="AS19" s="411"/>
      <c r="AT19" s="410"/>
      <c r="AU19" s="410"/>
      <c r="AV19" s="411"/>
      <c r="AW19" s="385"/>
    </row>
    <row r="20" spans="1:49" x14ac:dyDescent="0.25">
      <c r="A20" s="688"/>
      <c r="B20" s="691"/>
      <c r="C20" s="387" t="s">
        <v>29</v>
      </c>
      <c r="D20" s="406"/>
      <c r="E20" s="407"/>
      <c r="F20" s="408"/>
      <c r="G20" s="410"/>
      <c r="H20" s="410"/>
      <c r="I20" s="411">
        <f t="shared" si="1"/>
        <v>0</v>
      </c>
      <c r="J20" s="410"/>
      <c r="K20" s="410"/>
      <c r="L20" s="411">
        <f t="shared" si="2"/>
        <v>0</v>
      </c>
      <c r="M20" s="410"/>
      <c r="N20" s="410"/>
      <c r="O20" s="411">
        <f t="shared" si="4"/>
        <v>0</v>
      </c>
      <c r="P20" s="410"/>
      <c r="Q20" s="410"/>
      <c r="R20" s="411"/>
      <c r="S20" s="410"/>
      <c r="T20" s="410"/>
      <c r="U20" s="411"/>
      <c r="V20" s="410"/>
      <c r="W20" s="410"/>
      <c r="X20" s="411"/>
      <c r="Y20" s="410"/>
      <c r="Z20" s="410"/>
      <c r="AA20" s="411"/>
      <c r="AB20" s="410"/>
      <c r="AC20" s="410"/>
      <c r="AD20" s="411"/>
      <c r="AE20" s="410"/>
      <c r="AF20" s="410"/>
      <c r="AG20" s="411"/>
      <c r="AH20" s="410"/>
      <c r="AI20" s="410"/>
      <c r="AJ20" s="411"/>
      <c r="AK20" s="410"/>
      <c r="AL20" s="410"/>
      <c r="AM20" s="411"/>
      <c r="AN20" s="410"/>
      <c r="AO20" s="410"/>
      <c r="AP20" s="411"/>
      <c r="AQ20" s="410"/>
      <c r="AR20" s="410"/>
      <c r="AS20" s="411"/>
      <c r="AT20" s="410"/>
      <c r="AU20" s="410"/>
      <c r="AV20" s="411"/>
      <c r="AW20" s="385"/>
    </row>
    <row r="21" spans="1:49" x14ac:dyDescent="0.25">
      <c r="A21" s="688"/>
      <c r="B21" s="691"/>
      <c r="C21" s="387" t="s">
        <v>30</v>
      </c>
      <c r="D21" s="406"/>
      <c r="E21" s="407"/>
      <c r="F21" s="408"/>
      <c r="G21" s="410"/>
      <c r="H21" s="410"/>
      <c r="I21" s="411">
        <f t="shared" si="1"/>
        <v>0</v>
      </c>
      <c r="J21" s="410"/>
      <c r="K21" s="410"/>
      <c r="L21" s="411">
        <f t="shared" si="2"/>
        <v>0</v>
      </c>
      <c r="M21" s="410"/>
      <c r="N21" s="410"/>
      <c r="O21" s="411">
        <f t="shared" si="4"/>
        <v>0</v>
      </c>
      <c r="P21" s="410"/>
      <c r="Q21" s="410"/>
      <c r="R21" s="411"/>
      <c r="S21" s="410"/>
      <c r="T21" s="410"/>
      <c r="U21" s="411"/>
      <c r="V21" s="410"/>
      <c r="W21" s="410"/>
      <c r="X21" s="411"/>
      <c r="Y21" s="410"/>
      <c r="Z21" s="410"/>
      <c r="AA21" s="411"/>
      <c r="AB21" s="410"/>
      <c r="AC21" s="410"/>
      <c r="AD21" s="411"/>
      <c r="AE21" s="410"/>
      <c r="AF21" s="410"/>
      <c r="AG21" s="411"/>
      <c r="AH21" s="410"/>
      <c r="AI21" s="410"/>
      <c r="AJ21" s="411"/>
      <c r="AK21" s="410"/>
      <c r="AL21" s="410"/>
      <c r="AM21" s="411"/>
      <c r="AN21" s="410"/>
      <c r="AO21" s="410"/>
      <c r="AP21" s="411"/>
      <c r="AQ21" s="410"/>
      <c r="AR21" s="410"/>
      <c r="AS21" s="411"/>
      <c r="AT21" s="410"/>
      <c r="AU21" s="410"/>
      <c r="AV21" s="411"/>
      <c r="AW21" s="385"/>
    </row>
    <row r="22" spans="1:49" x14ac:dyDescent="0.25">
      <c r="A22" s="688"/>
      <c r="B22" s="691"/>
      <c r="C22" s="387" t="s">
        <v>31</v>
      </c>
      <c r="D22" s="406"/>
      <c r="E22" s="407"/>
      <c r="F22" s="408"/>
      <c r="G22" s="410"/>
      <c r="H22" s="410"/>
      <c r="I22" s="411">
        <f t="shared" si="1"/>
        <v>0</v>
      </c>
      <c r="J22" s="410"/>
      <c r="K22" s="410"/>
      <c r="L22" s="411">
        <f t="shared" si="2"/>
        <v>0</v>
      </c>
      <c r="M22" s="410"/>
      <c r="N22" s="410"/>
      <c r="O22" s="411">
        <f t="shared" si="4"/>
        <v>0</v>
      </c>
      <c r="P22" s="410"/>
      <c r="Q22" s="410"/>
      <c r="R22" s="411"/>
      <c r="S22" s="410"/>
      <c r="T22" s="410"/>
      <c r="U22" s="411"/>
      <c r="V22" s="410"/>
      <c r="W22" s="410"/>
      <c r="X22" s="411"/>
      <c r="Y22" s="410"/>
      <c r="Z22" s="410"/>
      <c r="AA22" s="411"/>
      <c r="AB22" s="410"/>
      <c r="AC22" s="410"/>
      <c r="AD22" s="411"/>
      <c r="AE22" s="410"/>
      <c r="AF22" s="410"/>
      <c r="AG22" s="411"/>
      <c r="AH22" s="410"/>
      <c r="AI22" s="410"/>
      <c r="AJ22" s="411"/>
      <c r="AK22" s="410"/>
      <c r="AL22" s="410"/>
      <c r="AM22" s="411"/>
      <c r="AN22" s="410"/>
      <c r="AO22" s="410"/>
      <c r="AP22" s="411"/>
      <c r="AQ22" s="410"/>
      <c r="AR22" s="410"/>
      <c r="AS22" s="411"/>
      <c r="AT22" s="410"/>
      <c r="AU22" s="410"/>
      <c r="AV22" s="411"/>
      <c r="AW22" s="385"/>
    </row>
    <row r="23" spans="1:49" x14ac:dyDescent="0.25">
      <c r="A23" s="688"/>
      <c r="B23" s="691"/>
      <c r="C23" s="387" t="s">
        <v>32</v>
      </c>
      <c r="D23" s="406"/>
      <c r="E23" s="407"/>
      <c r="F23" s="408"/>
      <c r="G23" s="410"/>
      <c r="H23" s="410"/>
      <c r="I23" s="411">
        <f t="shared" si="1"/>
        <v>0</v>
      </c>
      <c r="J23" s="410"/>
      <c r="K23" s="410"/>
      <c r="L23" s="411">
        <f t="shared" si="2"/>
        <v>0</v>
      </c>
      <c r="M23" s="410"/>
      <c r="N23" s="410"/>
      <c r="O23" s="411">
        <f t="shared" si="4"/>
        <v>0</v>
      </c>
      <c r="P23" s="410"/>
      <c r="Q23" s="410"/>
      <c r="R23" s="411"/>
      <c r="S23" s="410"/>
      <c r="T23" s="410"/>
      <c r="U23" s="411"/>
      <c r="V23" s="410"/>
      <c r="W23" s="410"/>
      <c r="X23" s="411"/>
      <c r="Y23" s="410"/>
      <c r="Z23" s="410"/>
      <c r="AA23" s="411"/>
      <c r="AB23" s="410"/>
      <c r="AC23" s="410"/>
      <c r="AD23" s="411"/>
      <c r="AE23" s="410"/>
      <c r="AF23" s="410"/>
      <c r="AG23" s="411"/>
      <c r="AH23" s="410"/>
      <c r="AI23" s="410"/>
      <c r="AJ23" s="411"/>
      <c r="AK23" s="410"/>
      <c r="AL23" s="410"/>
      <c r="AM23" s="411"/>
      <c r="AN23" s="410"/>
      <c r="AO23" s="410"/>
      <c r="AP23" s="411"/>
      <c r="AQ23" s="410"/>
      <c r="AR23" s="410"/>
      <c r="AS23" s="411"/>
      <c r="AT23" s="410"/>
      <c r="AU23" s="410"/>
      <c r="AV23" s="411"/>
      <c r="AW23" s="385"/>
    </row>
    <row r="24" spans="1:49" x14ac:dyDescent="0.25">
      <c r="A24" s="688"/>
      <c r="B24" s="691"/>
      <c r="C24" s="387" t="s">
        <v>33</v>
      </c>
      <c r="D24" s="406"/>
      <c r="E24" s="407"/>
      <c r="F24" s="408"/>
      <c r="G24" s="410"/>
      <c r="H24" s="410"/>
      <c r="I24" s="411">
        <f t="shared" si="1"/>
        <v>0</v>
      </c>
      <c r="J24" s="410"/>
      <c r="K24" s="410"/>
      <c r="L24" s="411">
        <f t="shared" si="2"/>
        <v>0</v>
      </c>
      <c r="M24" s="410"/>
      <c r="N24" s="410"/>
      <c r="O24" s="411">
        <f t="shared" si="4"/>
        <v>0</v>
      </c>
      <c r="P24" s="410"/>
      <c r="Q24" s="410"/>
      <c r="R24" s="411"/>
      <c r="S24" s="410"/>
      <c r="T24" s="410"/>
      <c r="U24" s="411"/>
      <c r="V24" s="410"/>
      <c r="W24" s="410"/>
      <c r="X24" s="411"/>
      <c r="Y24" s="410"/>
      <c r="Z24" s="410"/>
      <c r="AA24" s="411"/>
      <c r="AB24" s="410"/>
      <c r="AC24" s="410"/>
      <c r="AD24" s="411"/>
      <c r="AE24" s="410"/>
      <c r="AF24" s="410"/>
      <c r="AG24" s="411"/>
      <c r="AH24" s="410"/>
      <c r="AI24" s="410"/>
      <c r="AJ24" s="411"/>
      <c r="AK24" s="410"/>
      <c r="AL24" s="410"/>
      <c r="AM24" s="411"/>
      <c r="AN24" s="410"/>
      <c r="AO24" s="410"/>
      <c r="AP24" s="411"/>
      <c r="AQ24" s="410"/>
      <c r="AR24" s="410"/>
      <c r="AS24" s="411"/>
      <c r="AT24" s="410"/>
      <c r="AU24" s="410"/>
      <c r="AV24" s="411"/>
      <c r="AW24" s="385"/>
    </row>
    <row r="25" spans="1:49" ht="15.75" thickBot="1" x14ac:dyDescent="0.3">
      <c r="A25" s="689"/>
      <c r="B25" s="692"/>
      <c r="C25" s="394" t="s">
        <v>34</v>
      </c>
      <c r="D25" s="412"/>
      <c r="E25" s="413"/>
      <c r="F25" s="414"/>
      <c r="G25" s="416"/>
      <c r="H25" s="416"/>
      <c r="I25" s="417">
        <f t="shared" si="1"/>
        <v>0</v>
      </c>
      <c r="J25" s="416"/>
      <c r="K25" s="416"/>
      <c r="L25" s="417">
        <f t="shared" si="2"/>
        <v>0</v>
      </c>
      <c r="M25" s="416"/>
      <c r="N25" s="416"/>
      <c r="O25" s="417">
        <f t="shared" si="4"/>
        <v>0</v>
      </c>
      <c r="P25" s="416"/>
      <c r="Q25" s="416"/>
      <c r="R25" s="417"/>
      <c r="S25" s="416"/>
      <c r="T25" s="416"/>
      <c r="U25" s="417"/>
      <c r="V25" s="416"/>
      <c r="W25" s="416"/>
      <c r="X25" s="417"/>
      <c r="Y25" s="416"/>
      <c r="Z25" s="416"/>
      <c r="AA25" s="417"/>
      <c r="AB25" s="416"/>
      <c r="AC25" s="416"/>
      <c r="AD25" s="417"/>
      <c r="AE25" s="416"/>
      <c r="AF25" s="416"/>
      <c r="AG25" s="417"/>
      <c r="AH25" s="416"/>
      <c r="AI25" s="416"/>
      <c r="AJ25" s="417"/>
      <c r="AK25" s="416"/>
      <c r="AL25" s="416"/>
      <c r="AM25" s="417"/>
      <c r="AN25" s="416"/>
      <c r="AO25" s="416"/>
      <c r="AP25" s="417"/>
      <c r="AQ25" s="416"/>
      <c r="AR25" s="416"/>
      <c r="AS25" s="417"/>
      <c r="AT25" s="416"/>
      <c r="AU25" s="416"/>
      <c r="AV25" s="417"/>
      <c r="AW25" s="385"/>
    </row>
    <row r="26" spans="1:49" s="419" customFormat="1" ht="14.25" customHeight="1" x14ac:dyDescent="0.25">
      <c r="A26" s="687" t="s">
        <v>42</v>
      </c>
      <c r="B26" s="690" t="s">
        <v>13</v>
      </c>
      <c r="C26" s="379" t="s">
        <v>25</v>
      </c>
      <c r="D26" s="400"/>
      <c r="E26" s="401"/>
      <c r="F26" s="402"/>
      <c r="G26" s="575"/>
      <c r="H26" s="575"/>
      <c r="I26" s="405">
        <f>H26-G26</f>
        <v>0</v>
      </c>
      <c r="J26" s="404"/>
      <c r="K26" s="404"/>
      <c r="L26" s="405">
        <f>K26-J26</f>
        <v>0</v>
      </c>
      <c r="M26" s="404"/>
      <c r="N26" s="404"/>
      <c r="O26" s="405">
        <f>N26-M26</f>
        <v>0</v>
      </c>
      <c r="P26" s="404"/>
      <c r="Q26" s="404"/>
      <c r="R26" s="405"/>
      <c r="S26" s="404"/>
      <c r="T26" s="404"/>
      <c r="U26" s="405"/>
      <c r="V26" s="404"/>
      <c r="W26" s="404"/>
      <c r="X26" s="405"/>
      <c r="Y26" s="404"/>
      <c r="Z26" s="404"/>
      <c r="AA26" s="405"/>
      <c r="AB26" s="404"/>
      <c r="AC26" s="404"/>
      <c r="AD26" s="405"/>
      <c r="AE26" s="404"/>
      <c r="AF26" s="404"/>
      <c r="AG26" s="405"/>
      <c r="AH26" s="404"/>
      <c r="AI26" s="404"/>
      <c r="AJ26" s="405"/>
      <c r="AK26" s="404"/>
      <c r="AL26" s="404"/>
      <c r="AM26" s="405"/>
      <c r="AN26" s="404"/>
      <c r="AO26" s="404"/>
      <c r="AP26" s="405"/>
      <c r="AQ26" s="404"/>
      <c r="AR26" s="404"/>
      <c r="AS26" s="405"/>
      <c r="AT26" s="404"/>
      <c r="AU26" s="404"/>
      <c r="AV26" s="405"/>
      <c r="AW26" s="418"/>
    </row>
    <row r="27" spans="1:49" s="421" customFormat="1" x14ac:dyDescent="0.25">
      <c r="A27" s="688"/>
      <c r="B27" s="691"/>
      <c r="C27" s="387" t="s">
        <v>26</v>
      </c>
      <c r="D27" s="406"/>
      <c r="E27" s="407"/>
      <c r="F27" s="408"/>
      <c r="G27" s="576"/>
      <c r="H27" s="576"/>
      <c r="I27" s="411">
        <f t="shared" ref="I27:I44" si="9">H27-G27</f>
        <v>0</v>
      </c>
      <c r="J27" s="410"/>
      <c r="K27" s="410"/>
      <c r="L27" s="411">
        <f t="shared" ref="L27:L44" si="10">K27-J27</f>
        <v>0</v>
      </c>
      <c r="M27" s="410"/>
      <c r="N27" s="410"/>
      <c r="O27" s="411">
        <f t="shared" ref="O27:O44" si="11">N27-M27</f>
        <v>0</v>
      </c>
      <c r="P27" s="410"/>
      <c r="Q27" s="410"/>
      <c r="R27" s="411"/>
      <c r="S27" s="410"/>
      <c r="T27" s="410"/>
      <c r="U27" s="411"/>
      <c r="V27" s="410"/>
      <c r="W27" s="410"/>
      <c r="X27" s="411"/>
      <c r="Y27" s="410"/>
      <c r="Z27" s="410"/>
      <c r="AA27" s="411"/>
      <c r="AB27" s="410"/>
      <c r="AC27" s="410"/>
      <c r="AD27" s="411"/>
      <c r="AE27" s="410"/>
      <c r="AF27" s="410"/>
      <c r="AG27" s="411"/>
      <c r="AH27" s="410"/>
      <c r="AI27" s="410"/>
      <c r="AJ27" s="411"/>
      <c r="AK27" s="410"/>
      <c r="AL27" s="410"/>
      <c r="AM27" s="411"/>
      <c r="AN27" s="410"/>
      <c r="AO27" s="410"/>
      <c r="AP27" s="411"/>
      <c r="AQ27" s="410"/>
      <c r="AR27" s="410"/>
      <c r="AS27" s="411"/>
      <c r="AT27" s="410"/>
      <c r="AU27" s="410"/>
      <c r="AV27" s="411"/>
      <c r="AW27" s="420"/>
    </row>
    <row r="28" spans="1:49" s="421" customFormat="1" x14ac:dyDescent="0.25">
      <c r="A28" s="688"/>
      <c r="B28" s="691"/>
      <c r="C28" s="387" t="s">
        <v>27</v>
      </c>
      <c r="D28" s="406"/>
      <c r="E28" s="407"/>
      <c r="F28" s="408"/>
      <c r="G28" s="576"/>
      <c r="H28" s="576"/>
      <c r="I28" s="411">
        <f t="shared" si="9"/>
        <v>0</v>
      </c>
      <c r="J28" s="410"/>
      <c r="K28" s="410"/>
      <c r="L28" s="411">
        <f t="shared" si="10"/>
        <v>0</v>
      </c>
      <c r="M28" s="410"/>
      <c r="N28" s="410"/>
      <c r="O28" s="411">
        <f t="shared" si="11"/>
        <v>0</v>
      </c>
      <c r="P28" s="410"/>
      <c r="Q28" s="410"/>
      <c r="R28" s="411"/>
      <c r="S28" s="410"/>
      <c r="T28" s="410"/>
      <c r="U28" s="411"/>
      <c r="V28" s="410"/>
      <c r="W28" s="410"/>
      <c r="X28" s="411"/>
      <c r="Y28" s="410"/>
      <c r="Z28" s="410"/>
      <c r="AA28" s="411"/>
      <c r="AB28" s="410"/>
      <c r="AC28" s="410"/>
      <c r="AD28" s="411"/>
      <c r="AE28" s="410"/>
      <c r="AF28" s="410"/>
      <c r="AG28" s="411"/>
      <c r="AH28" s="410"/>
      <c r="AI28" s="410"/>
      <c r="AJ28" s="411"/>
      <c r="AK28" s="410"/>
      <c r="AL28" s="410"/>
      <c r="AM28" s="411"/>
      <c r="AN28" s="410"/>
      <c r="AO28" s="410"/>
      <c r="AP28" s="411"/>
      <c r="AQ28" s="410"/>
      <c r="AR28" s="410"/>
      <c r="AS28" s="411"/>
      <c r="AT28" s="410"/>
      <c r="AU28" s="410"/>
      <c r="AV28" s="411"/>
      <c r="AW28" s="420"/>
    </row>
    <row r="29" spans="1:49" s="421" customFormat="1" x14ac:dyDescent="0.25">
      <c r="A29" s="688"/>
      <c r="B29" s="691"/>
      <c r="C29" s="387" t="s">
        <v>28</v>
      </c>
      <c r="D29" s="406"/>
      <c r="E29" s="407"/>
      <c r="F29" s="408"/>
      <c r="G29" s="576"/>
      <c r="H29" s="576"/>
      <c r="I29" s="411">
        <f t="shared" si="9"/>
        <v>0</v>
      </c>
      <c r="J29" s="410"/>
      <c r="K29" s="410"/>
      <c r="L29" s="411">
        <f t="shared" si="10"/>
        <v>0</v>
      </c>
      <c r="M29" s="410"/>
      <c r="N29" s="410"/>
      <c r="O29" s="411">
        <f t="shared" si="11"/>
        <v>0</v>
      </c>
      <c r="P29" s="410"/>
      <c r="Q29" s="410"/>
      <c r="R29" s="411"/>
      <c r="S29" s="410"/>
      <c r="T29" s="410"/>
      <c r="U29" s="411"/>
      <c r="V29" s="410"/>
      <c r="W29" s="410"/>
      <c r="X29" s="411"/>
      <c r="Y29" s="410"/>
      <c r="Z29" s="410"/>
      <c r="AA29" s="411"/>
      <c r="AB29" s="410"/>
      <c r="AC29" s="410"/>
      <c r="AD29" s="411"/>
      <c r="AE29" s="410"/>
      <c r="AF29" s="410"/>
      <c r="AG29" s="411"/>
      <c r="AH29" s="410"/>
      <c r="AI29" s="410"/>
      <c r="AJ29" s="411"/>
      <c r="AK29" s="410"/>
      <c r="AL29" s="410"/>
      <c r="AM29" s="411"/>
      <c r="AN29" s="410"/>
      <c r="AO29" s="410"/>
      <c r="AP29" s="411"/>
      <c r="AQ29" s="410"/>
      <c r="AR29" s="410"/>
      <c r="AS29" s="411"/>
      <c r="AT29" s="410"/>
      <c r="AU29" s="410"/>
      <c r="AV29" s="411"/>
      <c r="AW29" s="420"/>
    </row>
    <row r="30" spans="1:49" s="421" customFormat="1" x14ac:dyDescent="0.25">
      <c r="A30" s="688"/>
      <c r="B30" s="691"/>
      <c r="C30" s="387" t="s">
        <v>29</v>
      </c>
      <c r="D30" s="406"/>
      <c r="E30" s="407"/>
      <c r="F30" s="408"/>
      <c r="G30" s="576"/>
      <c r="H30" s="576"/>
      <c r="I30" s="411">
        <f t="shared" si="9"/>
        <v>0</v>
      </c>
      <c r="J30" s="410"/>
      <c r="K30" s="410"/>
      <c r="L30" s="411">
        <f t="shared" si="10"/>
        <v>0</v>
      </c>
      <c r="M30" s="410"/>
      <c r="N30" s="410"/>
      <c r="O30" s="411">
        <f t="shared" si="11"/>
        <v>0</v>
      </c>
      <c r="P30" s="410"/>
      <c r="Q30" s="410"/>
      <c r="R30" s="411"/>
      <c r="S30" s="410"/>
      <c r="T30" s="410"/>
      <c r="U30" s="411"/>
      <c r="V30" s="410"/>
      <c r="W30" s="410"/>
      <c r="X30" s="411"/>
      <c r="Y30" s="410"/>
      <c r="Z30" s="410"/>
      <c r="AA30" s="411"/>
      <c r="AB30" s="410"/>
      <c r="AC30" s="410"/>
      <c r="AD30" s="411"/>
      <c r="AE30" s="410"/>
      <c r="AF30" s="410"/>
      <c r="AG30" s="411"/>
      <c r="AH30" s="410"/>
      <c r="AI30" s="410"/>
      <c r="AJ30" s="411"/>
      <c r="AK30" s="410"/>
      <c r="AL30" s="410"/>
      <c r="AM30" s="411"/>
      <c r="AN30" s="410"/>
      <c r="AO30" s="410"/>
      <c r="AP30" s="411"/>
      <c r="AQ30" s="410"/>
      <c r="AR30" s="410"/>
      <c r="AS30" s="411"/>
      <c r="AT30" s="410"/>
      <c r="AU30" s="410"/>
      <c r="AV30" s="411"/>
      <c r="AW30" s="420"/>
    </row>
    <row r="31" spans="1:49" s="421" customFormat="1" x14ac:dyDescent="0.25">
      <c r="A31" s="688"/>
      <c r="B31" s="691"/>
      <c r="C31" s="387" t="s">
        <v>30</v>
      </c>
      <c r="D31" s="406"/>
      <c r="E31" s="407"/>
      <c r="F31" s="408"/>
      <c r="G31" s="576"/>
      <c r="H31" s="576"/>
      <c r="I31" s="411">
        <f t="shared" si="9"/>
        <v>0</v>
      </c>
      <c r="J31" s="410"/>
      <c r="K31" s="410"/>
      <c r="L31" s="411">
        <f t="shared" si="10"/>
        <v>0</v>
      </c>
      <c r="M31" s="410"/>
      <c r="N31" s="410"/>
      <c r="O31" s="411">
        <f t="shared" si="11"/>
        <v>0</v>
      </c>
      <c r="P31" s="410"/>
      <c r="Q31" s="410"/>
      <c r="R31" s="411"/>
      <c r="S31" s="410"/>
      <c r="T31" s="410"/>
      <c r="U31" s="411"/>
      <c r="V31" s="410"/>
      <c r="W31" s="410"/>
      <c r="X31" s="411"/>
      <c r="Y31" s="410"/>
      <c r="Z31" s="410"/>
      <c r="AA31" s="411"/>
      <c r="AB31" s="410"/>
      <c r="AC31" s="410"/>
      <c r="AD31" s="411"/>
      <c r="AE31" s="410"/>
      <c r="AF31" s="410"/>
      <c r="AG31" s="411"/>
      <c r="AH31" s="410"/>
      <c r="AI31" s="410"/>
      <c r="AJ31" s="411"/>
      <c r="AK31" s="410"/>
      <c r="AL31" s="410"/>
      <c r="AM31" s="411"/>
      <c r="AN31" s="410"/>
      <c r="AO31" s="410"/>
      <c r="AP31" s="411"/>
      <c r="AQ31" s="410"/>
      <c r="AR31" s="410"/>
      <c r="AS31" s="411"/>
      <c r="AT31" s="410"/>
      <c r="AU31" s="410"/>
      <c r="AV31" s="411"/>
      <c r="AW31" s="420"/>
    </row>
    <row r="32" spans="1:49" s="421" customFormat="1" x14ac:dyDescent="0.25">
      <c r="A32" s="688"/>
      <c r="B32" s="691"/>
      <c r="C32" s="387" t="s">
        <v>31</v>
      </c>
      <c r="D32" s="406"/>
      <c r="E32" s="407"/>
      <c r="F32" s="408"/>
      <c r="G32" s="576"/>
      <c r="H32" s="576"/>
      <c r="I32" s="411">
        <f t="shared" si="9"/>
        <v>0</v>
      </c>
      <c r="J32" s="410"/>
      <c r="K32" s="410"/>
      <c r="L32" s="411">
        <f t="shared" si="10"/>
        <v>0</v>
      </c>
      <c r="M32" s="410"/>
      <c r="N32" s="410"/>
      <c r="O32" s="411">
        <f t="shared" si="11"/>
        <v>0</v>
      </c>
      <c r="P32" s="410"/>
      <c r="Q32" s="410"/>
      <c r="R32" s="411"/>
      <c r="S32" s="410"/>
      <c r="T32" s="410"/>
      <c r="U32" s="411"/>
      <c r="V32" s="410"/>
      <c r="W32" s="410"/>
      <c r="X32" s="411"/>
      <c r="Y32" s="410"/>
      <c r="Z32" s="410"/>
      <c r="AA32" s="411"/>
      <c r="AB32" s="410"/>
      <c r="AC32" s="410"/>
      <c r="AD32" s="411"/>
      <c r="AE32" s="410"/>
      <c r="AF32" s="410"/>
      <c r="AG32" s="411"/>
      <c r="AH32" s="410"/>
      <c r="AI32" s="410"/>
      <c r="AJ32" s="411"/>
      <c r="AK32" s="410"/>
      <c r="AL32" s="410"/>
      <c r="AM32" s="411"/>
      <c r="AN32" s="410"/>
      <c r="AO32" s="410"/>
      <c r="AP32" s="411"/>
      <c r="AQ32" s="410"/>
      <c r="AR32" s="410"/>
      <c r="AS32" s="411"/>
      <c r="AT32" s="410"/>
      <c r="AU32" s="410"/>
      <c r="AV32" s="411"/>
      <c r="AW32" s="420"/>
    </row>
    <row r="33" spans="1:49" s="421" customFormat="1" x14ac:dyDescent="0.25">
      <c r="A33" s="688"/>
      <c r="B33" s="691"/>
      <c r="C33" s="387" t="s">
        <v>32</v>
      </c>
      <c r="D33" s="406"/>
      <c r="E33" s="407"/>
      <c r="F33" s="408"/>
      <c r="G33" s="576"/>
      <c r="H33" s="576"/>
      <c r="I33" s="411">
        <f t="shared" si="9"/>
        <v>0</v>
      </c>
      <c r="J33" s="410"/>
      <c r="K33" s="410"/>
      <c r="L33" s="411">
        <f t="shared" si="10"/>
        <v>0</v>
      </c>
      <c r="M33" s="410"/>
      <c r="N33" s="410"/>
      <c r="O33" s="411">
        <f t="shared" si="11"/>
        <v>0</v>
      </c>
      <c r="P33" s="410"/>
      <c r="Q33" s="410"/>
      <c r="R33" s="411"/>
      <c r="S33" s="410"/>
      <c r="T33" s="410"/>
      <c r="U33" s="411"/>
      <c r="V33" s="410"/>
      <c r="W33" s="410"/>
      <c r="X33" s="411"/>
      <c r="Y33" s="410"/>
      <c r="Z33" s="410"/>
      <c r="AA33" s="411"/>
      <c r="AB33" s="410"/>
      <c r="AC33" s="410"/>
      <c r="AD33" s="411"/>
      <c r="AE33" s="410"/>
      <c r="AF33" s="410"/>
      <c r="AG33" s="411"/>
      <c r="AH33" s="410"/>
      <c r="AI33" s="410"/>
      <c r="AJ33" s="411"/>
      <c r="AK33" s="410"/>
      <c r="AL33" s="410"/>
      <c r="AM33" s="411"/>
      <c r="AN33" s="410"/>
      <c r="AO33" s="410"/>
      <c r="AP33" s="411"/>
      <c r="AQ33" s="410"/>
      <c r="AR33" s="410"/>
      <c r="AS33" s="411"/>
      <c r="AT33" s="410"/>
      <c r="AU33" s="410"/>
      <c r="AV33" s="411"/>
      <c r="AW33" s="420"/>
    </row>
    <row r="34" spans="1:49" s="421" customFormat="1" x14ac:dyDescent="0.25">
      <c r="A34" s="688"/>
      <c r="B34" s="691"/>
      <c r="C34" s="387" t="s">
        <v>33</v>
      </c>
      <c r="D34" s="406"/>
      <c r="E34" s="407"/>
      <c r="F34" s="408"/>
      <c r="G34" s="576"/>
      <c r="H34" s="576"/>
      <c r="I34" s="411">
        <f t="shared" si="9"/>
        <v>0</v>
      </c>
      <c r="J34" s="410"/>
      <c r="K34" s="410"/>
      <c r="L34" s="411">
        <f t="shared" si="10"/>
        <v>0</v>
      </c>
      <c r="M34" s="410"/>
      <c r="N34" s="410"/>
      <c r="O34" s="411">
        <f t="shared" si="11"/>
        <v>0</v>
      </c>
      <c r="P34" s="410"/>
      <c r="Q34" s="410"/>
      <c r="R34" s="411"/>
      <c r="S34" s="410"/>
      <c r="T34" s="410"/>
      <c r="U34" s="411"/>
      <c r="V34" s="410"/>
      <c r="W34" s="410"/>
      <c r="X34" s="411"/>
      <c r="Y34" s="410"/>
      <c r="Z34" s="410"/>
      <c r="AA34" s="411"/>
      <c r="AB34" s="410"/>
      <c r="AC34" s="410"/>
      <c r="AD34" s="411"/>
      <c r="AE34" s="410"/>
      <c r="AF34" s="410"/>
      <c r="AG34" s="411"/>
      <c r="AH34" s="410"/>
      <c r="AI34" s="410"/>
      <c r="AJ34" s="411"/>
      <c r="AK34" s="410"/>
      <c r="AL34" s="410"/>
      <c r="AM34" s="411"/>
      <c r="AN34" s="410"/>
      <c r="AO34" s="410"/>
      <c r="AP34" s="411"/>
      <c r="AQ34" s="410"/>
      <c r="AR34" s="410"/>
      <c r="AS34" s="411"/>
      <c r="AT34" s="410"/>
      <c r="AU34" s="410"/>
      <c r="AV34" s="411"/>
      <c r="AW34" s="420"/>
    </row>
    <row r="35" spans="1:49" s="421" customFormat="1" ht="15.75" thickBot="1" x14ac:dyDescent="0.3">
      <c r="A35" s="689"/>
      <c r="B35" s="692"/>
      <c r="C35" s="394" t="s">
        <v>34</v>
      </c>
      <c r="D35" s="412"/>
      <c r="E35" s="413"/>
      <c r="F35" s="414"/>
      <c r="G35" s="577"/>
      <c r="H35" s="577"/>
      <c r="I35" s="417">
        <f t="shared" si="9"/>
        <v>0</v>
      </c>
      <c r="J35" s="416"/>
      <c r="K35" s="416"/>
      <c r="L35" s="417">
        <f t="shared" si="10"/>
        <v>0</v>
      </c>
      <c r="M35" s="416"/>
      <c r="N35" s="416"/>
      <c r="O35" s="417">
        <f t="shared" si="11"/>
        <v>0</v>
      </c>
      <c r="P35" s="416"/>
      <c r="Q35" s="416"/>
      <c r="R35" s="417"/>
      <c r="S35" s="416"/>
      <c r="T35" s="416"/>
      <c r="U35" s="417"/>
      <c r="V35" s="416"/>
      <c r="W35" s="416"/>
      <c r="X35" s="417"/>
      <c r="Y35" s="416"/>
      <c r="Z35" s="416"/>
      <c r="AA35" s="417"/>
      <c r="AB35" s="416"/>
      <c r="AC35" s="416"/>
      <c r="AD35" s="417"/>
      <c r="AE35" s="416"/>
      <c r="AF35" s="416"/>
      <c r="AG35" s="417"/>
      <c r="AH35" s="416"/>
      <c r="AI35" s="416"/>
      <c r="AJ35" s="417"/>
      <c r="AK35" s="416"/>
      <c r="AL35" s="416"/>
      <c r="AM35" s="417"/>
      <c r="AN35" s="416"/>
      <c r="AO35" s="416"/>
      <c r="AP35" s="417"/>
      <c r="AQ35" s="416"/>
      <c r="AR35" s="416"/>
      <c r="AS35" s="417"/>
      <c r="AT35" s="416"/>
      <c r="AU35" s="416"/>
      <c r="AV35" s="417"/>
      <c r="AW35" s="420"/>
    </row>
    <row r="36" spans="1:49" s="419" customFormat="1" ht="14.45" customHeight="1" x14ac:dyDescent="0.25">
      <c r="A36" s="687" t="s">
        <v>394</v>
      </c>
      <c r="B36" s="690" t="s">
        <v>188</v>
      </c>
      <c r="C36" s="379" t="s">
        <v>25</v>
      </c>
      <c r="D36" s="400"/>
      <c r="E36" s="401"/>
      <c r="F36" s="402"/>
      <c r="G36" s="403">
        <v>14</v>
      </c>
      <c r="H36" s="403">
        <v>7</v>
      </c>
      <c r="I36" s="405">
        <f t="shared" si="9"/>
        <v>-7</v>
      </c>
      <c r="J36" s="403">
        <v>8</v>
      </c>
      <c r="K36" s="403">
        <v>4</v>
      </c>
      <c r="L36" s="405">
        <f t="shared" si="10"/>
        <v>-4</v>
      </c>
      <c r="M36" s="403">
        <v>24</v>
      </c>
      <c r="N36" s="403">
        <v>20</v>
      </c>
      <c r="O36" s="405">
        <f t="shared" si="11"/>
        <v>-4</v>
      </c>
      <c r="P36" s="403"/>
      <c r="Q36" s="403"/>
      <c r="R36" s="405"/>
      <c r="S36" s="403"/>
      <c r="T36" s="403"/>
      <c r="U36" s="405"/>
      <c r="V36" s="403"/>
      <c r="W36" s="403"/>
      <c r="X36" s="405"/>
      <c r="Y36" s="403"/>
      <c r="Z36" s="403"/>
      <c r="AA36" s="405"/>
      <c r="AB36" s="403"/>
      <c r="AC36" s="403"/>
      <c r="AD36" s="405"/>
      <c r="AE36" s="403"/>
      <c r="AF36" s="403"/>
      <c r="AG36" s="405"/>
      <c r="AH36" s="404"/>
      <c r="AI36" s="404"/>
      <c r="AJ36" s="405"/>
      <c r="AK36" s="404"/>
      <c r="AL36" s="404"/>
      <c r="AM36" s="405"/>
      <c r="AN36" s="404"/>
      <c r="AO36" s="404"/>
      <c r="AP36" s="405"/>
      <c r="AQ36" s="404"/>
      <c r="AR36" s="404"/>
      <c r="AS36" s="405"/>
      <c r="AT36" s="404"/>
      <c r="AU36" s="404"/>
      <c r="AV36" s="405"/>
      <c r="AW36" s="418">
        <f>'Analyza citlivosti - AgendovéIS'!N7</f>
        <v>0</v>
      </c>
    </row>
    <row r="37" spans="1:49" s="421" customFormat="1" x14ac:dyDescent="0.25">
      <c r="A37" s="688"/>
      <c r="B37" s="691"/>
      <c r="C37" s="387" t="s">
        <v>26</v>
      </c>
      <c r="D37" s="406"/>
      <c r="E37" s="407"/>
      <c r="F37" s="408"/>
      <c r="G37" s="409">
        <v>14</v>
      </c>
      <c r="H37" s="410">
        <v>7</v>
      </c>
      <c r="I37" s="411">
        <f t="shared" si="9"/>
        <v>-7</v>
      </c>
      <c r="J37" s="409">
        <v>8</v>
      </c>
      <c r="K37" s="410">
        <v>4</v>
      </c>
      <c r="L37" s="411">
        <f t="shared" si="10"/>
        <v>-4</v>
      </c>
      <c r="M37" s="409">
        <v>24</v>
      </c>
      <c r="N37" s="589">
        <v>20</v>
      </c>
      <c r="O37" s="411">
        <f t="shared" si="11"/>
        <v>-4</v>
      </c>
      <c r="P37" s="409"/>
      <c r="Q37" s="410"/>
      <c r="R37" s="411"/>
      <c r="S37" s="409"/>
      <c r="T37" s="410"/>
      <c r="U37" s="411"/>
      <c r="V37" s="409"/>
      <c r="W37" s="410"/>
      <c r="X37" s="411"/>
      <c r="Y37" s="409"/>
      <c r="Z37" s="410"/>
      <c r="AA37" s="411"/>
      <c r="AB37" s="409"/>
      <c r="AC37" s="410"/>
      <c r="AD37" s="411"/>
      <c r="AE37" s="409"/>
      <c r="AF37" s="410"/>
      <c r="AG37" s="411"/>
      <c r="AH37" s="410"/>
      <c r="AI37" s="410"/>
      <c r="AJ37" s="411"/>
      <c r="AK37" s="410"/>
      <c r="AL37" s="410"/>
      <c r="AM37" s="411"/>
      <c r="AN37" s="410"/>
      <c r="AO37" s="410"/>
      <c r="AP37" s="411"/>
      <c r="AQ37" s="410"/>
      <c r="AR37" s="410"/>
      <c r="AS37" s="411"/>
      <c r="AT37" s="410"/>
      <c r="AU37" s="410"/>
      <c r="AV37" s="411"/>
      <c r="AW37" s="420"/>
    </row>
    <row r="38" spans="1:49" s="421" customFormat="1" x14ac:dyDescent="0.25">
      <c r="A38" s="688"/>
      <c r="B38" s="691"/>
      <c r="C38" s="387" t="s">
        <v>27</v>
      </c>
      <c r="D38" s="406"/>
      <c r="E38" s="407"/>
      <c r="F38" s="408"/>
      <c r="G38" s="589">
        <v>14</v>
      </c>
      <c r="H38" s="590">
        <v>7</v>
      </c>
      <c r="I38" s="411">
        <f t="shared" si="9"/>
        <v>-7</v>
      </c>
      <c r="J38" s="589">
        <v>8</v>
      </c>
      <c r="K38" s="590">
        <v>4</v>
      </c>
      <c r="L38" s="411">
        <f t="shared" si="10"/>
        <v>-4</v>
      </c>
      <c r="M38" s="589">
        <v>24</v>
      </c>
      <c r="N38" s="589">
        <v>20</v>
      </c>
      <c r="O38" s="411">
        <f t="shared" si="11"/>
        <v>-4</v>
      </c>
      <c r="P38" s="409"/>
      <c r="Q38" s="410"/>
      <c r="R38" s="411"/>
      <c r="S38" s="409"/>
      <c r="T38" s="410"/>
      <c r="U38" s="411"/>
      <c r="V38" s="409"/>
      <c r="W38" s="410"/>
      <c r="X38" s="411"/>
      <c r="Y38" s="409"/>
      <c r="Z38" s="410"/>
      <c r="AA38" s="411"/>
      <c r="AB38" s="409"/>
      <c r="AC38" s="410"/>
      <c r="AD38" s="411"/>
      <c r="AE38" s="409"/>
      <c r="AF38" s="410"/>
      <c r="AG38" s="411"/>
      <c r="AH38" s="410"/>
      <c r="AI38" s="410"/>
      <c r="AJ38" s="411"/>
      <c r="AK38" s="410"/>
      <c r="AL38" s="410"/>
      <c r="AM38" s="411"/>
      <c r="AN38" s="410"/>
      <c r="AO38" s="410"/>
      <c r="AP38" s="411"/>
      <c r="AQ38" s="410"/>
      <c r="AR38" s="410"/>
      <c r="AS38" s="411"/>
      <c r="AT38" s="410"/>
      <c r="AU38" s="410"/>
      <c r="AV38" s="411"/>
      <c r="AW38" s="420"/>
    </row>
    <row r="39" spans="1:49" s="421" customFormat="1" x14ac:dyDescent="0.25">
      <c r="A39" s="688"/>
      <c r="B39" s="691"/>
      <c r="C39" s="387" t="s">
        <v>28</v>
      </c>
      <c r="D39" s="406"/>
      <c r="E39" s="407"/>
      <c r="F39" s="408"/>
      <c r="G39" s="589"/>
      <c r="H39" s="590"/>
      <c r="I39" s="411">
        <f t="shared" si="9"/>
        <v>0</v>
      </c>
      <c r="J39" s="589"/>
      <c r="K39" s="590"/>
      <c r="L39" s="411">
        <f t="shared" si="10"/>
        <v>0</v>
      </c>
      <c r="M39" s="589"/>
      <c r="N39" s="589"/>
      <c r="O39" s="411">
        <f t="shared" si="11"/>
        <v>0</v>
      </c>
      <c r="P39" s="409"/>
      <c r="Q39" s="410"/>
      <c r="R39" s="411"/>
      <c r="S39" s="409"/>
      <c r="T39" s="410"/>
      <c r="U39" s="411"/>
      <c r="V39" s="409"/>
      <c r="W39" s="410"/>
      <c r="X39" s="411"/>
      <c r="Y39" s="409"/>
      <c r="Z39" s="410"/>
      <c r="AA39" s="411"/>
      <c r="AB39" s="409"/>
      <c r="AC39" s="410"/>
      <c r="AD39" s="411"/>
      <c r="AE39" s="409"/>
      <c r="AF39" s="410"/>
      <c r="AG39" s="411"/>
      <c r="AH39" s="410"/>
      <c r="AI39" s="410"/>
      <c r="AJ39" s="411"/>
      <c r="AK39" s="410"/>
      <c r="AL39" s="410"/>
      <c r="AM39" s="411"/>
      <c r="AN39" s="410"/>
      <c r="AO39" s="410"/>
      <c r="AP39" s="411"/>
      <c r="AQ39" s="410"/>
      <c r="AR39" s="410"/>
      <c r="AS39" s="411"/>
      <c r="AT39" s="410"/>
      <c r="AU39" s="410"/>
      <c r="AV39" s="411"/>
      <c r="AW39" s="420"/>
    </row>
    <row r="40" spans="1:49" s="421" customFormat="1" x14ac:dyDescent="0.25">
      <c r="A40" s="688"/>
      <c r="B40" s="691"/>
      <c r="C40" s="387" t="s">
        <v>29</v>
      </c>
      <c r="D40" s="406"/>
      <c r="E40" s="407"/>
      <c r="F40" s="408"/>
      <c r="G40" s="589"/>
      <c r="H40" s="590"/>
      <c r="I40" s="411">
        <f t="shared" si="9"/>
        <v>0</v>
      </c>
      <c r="J40" s="589"/>
      <c r="K40" s="590"/>
      <c r="L40" s="411">
        <f t="shared" si="10"/>
        <v>0</v>
      </c>
      <c r="M40" s="589"/>
      <c r="N40" s="589"/>
      <c r="O40" s="411">
        <f t="shared" si="11"/>
        <v>0</v>
      </c>
      <c r="P40" s="409"/>
      <c r="Q40" s="410"/>
      <c r="R40" s="411"/>
      <c r="S40" s="409"/>
      <c r="T40" s="410"/>
      <c r="U40" s="411"/>
      <c r="V40" s="409"/>
      <c r="W40" s="410"/>
      <c r="X40" s="411"/>
      <c r="Y40" s="409"/>
      <c r="Z40" s="410"/>
      <c r="AA40" s="411"/>
      <c r="AB40" s="409"/>
      <c r="AC40" s="410"/>
      <c r="AD40" s="411"/>
      <c r="AE40" s="409"/>
      <c r="AF40" s="410"/>
      <c r="AG40" s="411"/>
      <c r="AH40" s="410"/>
      <c r="AI40" s="410"/>
      <c r="AJ40" s="411"/>
      <c r="AK40" s="410"/>
      <c r="AL40" s="410"/>
      <c r="AM40" s="411"/>
      <c r="AN40" s="410"/>
      <c r="AO40" s="410"/>
      <c r="AP40" s="411"/>
      <c r="AQ40" s="410"/>
      <c r="AR40" s="410"/>
      <c r="AS40" s="411"/>
      <c r="AT40" s="410"/>
      <c r="AU40" s="410"/>
      <c r="AV40" s="411"/>
      <c r="AW40" s="420"/>
    </row>
    <row r="41" spans="1:49" s="421" customFormat="1" x14ac:dyDescent="0.25">
      <c r="A41" s="688"/>
      <c r="B41" s="691"/>
      <c r="C41" s="387" t="s">
        <v>30</v>
      </c>
      <c r="D41" s="406"/>
      <c r="E41" s="407"/>
      <c r="F41" s="408"/>
      <c r="G41" s="589"/>
      <c r="H41" s="590"/>
      <c r="I41" s="411">
        <f t="shared" si="9"/>
        <v>0</v>
      </c>
      <c r="J41" s="589"/>
      <c r="K41" s="590"/>
      <c r="L41" s="411">
        <f t="shared" si="10"/>
        <v>0</v>
      </c>
      <c r="M41" s="589"/>
      <c r="N41" s="589"/>
      <c r="O41" s="411">
        <f t="shared" si="11"/>
        <v>0</v>
      </c>
      <c r="P41" s="409"/>
      <c r="Q41" s="410"/>
      <c r="R41" s="411"/>
      <c r="S41" s="409"/>
      <c r="T41" s="410"/>
      <c r="U41" s="411"/>
      <c r="V41" s="409"/>
      <c r="W41" s="410"/>
      <c r="X41" s="411"/>
      <c r="Y41" s="409"/>
      <c r="Z41" s="410"/>
      <c r="AA41" s="411"/>
      <c r="AB41" s="409"/>
      <c r="AC41" s="410"/>
      <c r="AD41" s="411"/>
      <c r="AE41" s="409"/>
      <c r="AF41" s="410"/>
      <c r="AG41" s="411"/>
      <c r="AH41" s="410"/>
      <c r="AI41" s="410"/>
      <c r="AJ41" s="411"/>
      <c r="AK41" s="410"/>
      <c r="AL41" s="410"/>
      <c r="AM41" s="411"/>
      <c r="AN41" s="410"/>
      <c r="AO41" s="410"/>
      <c r="AP41" s="411"/>
      <c r="AQ41" s="410"/>
      <c r="AR41" s="410"/>
      <c r="AS41" s="411"/>
      <c r="AT41" s="410"/>
      <c r="AU41" s="410"/>
      <c r="AV41" s="411"/>
      <c r="AW41" s="420"/>
    </row>
    <row r="42" spans="1:49" s="421" customFormat="1" x14ac:dyDescent="0.25">
      <c r="A42" s="688"/>
      <c r="B42" s="691"/>
      <c r="C42" s="387" t="s">
        <v>31</v>
      </c>
      <c r="D42" s="406"/>
      <c r="E42" s="407"/>
      <c r="F42" s="408"/>
      <c r="G42" s="589"/>
      <c r="H42" s="590"/>
      <c r="I42" s="411">
        <f t="shared" si="9"/>
        <v>0</v>
      </c>
      <c r="J42" s="589"/>
      <c r="K42" s="590"/>
      <c r="L42" s="411">
        <f t="shared" si="10"/>
        <v>0</v>
      </c>
      <c r="M42" s="589"/>
      <c r="N42" s="589"/>
      <c r="O42" s="411">
        <f t="shared" si="11"/>
        <v>0</v>
      </c>
      <c r="P42" s="409"/>
      <c r="Q42" s="410"/>
      <c r="R42" s="411"/>
      <c r="S42" s="409"/>
      <c r="T42" s="410"/>
      <c r="U42" s="411"/>
      <c r="V42" s="409"/>
      <c r="W42" s="410"/>
      <c r="X42" s="411"/>
      <c r="Y42" s="409"/>
      <c r="Z42" s="410"/>
      <c r="AA42" s="411"/>
      <c r="AB42" s="409"/>
      <c r="AC42" s="410"/>
      <c r="AD42" s="411"/>
      <c r="AE42" s="409"/>
      <c r="AF42" s="410"/>
      <c r="AG42" s="411"/>
      <c r="AH42" s="410"/>
      <c r="AI42" s="410"/>
      <c r="AJ42" s="411"/>
      <c r="AK42" s="410"/>
      <c r="AL42" s="410"/>
      <c r="AM42" s="411"/>
      <c r="AN42" s="410"/>
      <c r="AO42" s="410"/>
      <c r="AP42" s="411"/>
      <c r="AQ42" s="410"/>
      <c r="AR42" s="410"/>
      <c r="AS42" s="411"/>
      <c r="AT42" s="410"/>
      <c r="AU42" s="410"/>
      <c r="AV42" s="411"/>
      <c r="AW42" s="420"/>
    </row>
    <row r="43" spans="1:49" s="421" customFormat="1" x14ac:dyDescent="0.25">
      <c r="A43" s="688"/>
      <c r="B43" s="691"/>
      <c r="C43" s="387" t="s">
        <v>32</v>
      </c>
      <c r="D43" s="406"/>
      <c r="E43" s="407"/>
      <c r="F43" s="408"/>
      <c r="G43" s="589"/>
      <c r="H43" s="590"/>
      <c r="I43" s="411">
        <f t="shared" si="9"/>
        <v>0</v>
      </c>
      <c r="J43" s="589"/>
      <c r="K43" s="590"/>
      <c r="L43" s="411">
        <f t="shared" si="10"/>
        <v>0</v>
      </c>
      <c r="M43" s="589"/>
      <c r="N43" s="589"/>
      <c r="O43" s="411">
        <f t="shared" si="11"/>
        <v>0</v>
      </c>
      <c r="P43" s="409"/>
      <c r="Q43" s="410"/>
      <c r="R43" s="411"/>
      <c r="S43" s="409"/>
      <c r="T43" s="410"/>
      <c r="U43" s="411"/>
      <c r="V43" s="409"/>
      <c r="W43" s="410"/>
      <c r="X43" s="411"/>
      <c r="Y43" s="409"/>
      <c r="Z43" s="410"/>
      <c r="AA43" s="411"/>
      <c r="AB43" s="409"/>
      <c r="AC43" s="410"/>
      <c r="AD43" s="411"/>
      <c r="AE43" s="409"/>
      <c r="AF43" s="410"/>
      <c r="AG43" s="411"/>
      <c r="AH43" s="410"/>
      <c r="AI43" s="410"/>
      <c r="AJ43" s="411"/>
      <c r="AK43" s="410"/>
      <c r="AL43" s="410"/>
      <c r="AM43" s="411"/>
      <c r="AN43" s="410"/>
      <c r="AO43" s="410"/>
      <c r="AP43" s="411"/>
      <c r="AQ43" s="410"/>
      <c r="AR43" s="410"/>
      <c r="AS43" s="411"/>
      <c r="AT43" s="410"/>
      <c r="AU43" s="410"/>
      <c r="AV43" s="411"/>
      <c r="AW43" s="420"/>
    </row>
    <row r="44" spans="1:49" s="421" customFormat="1" x14ac:dyDescent="0.25">
      <c r="A44" s="688"/>
      <c r="B44" s="691"/>
      <c r="C44" s="387" t="s">
        <v>33</v>
      </c>
      <c r="D44" s="406"/>
      <c r="E44" s="407"/>
      <c r="F44" s="408"/>
      <c r="G44" s="589"/>
      <c r="H44" s="590"/>
      <c r="I44" s="411">
        <f t="shared" si="9"/>
        <v>0</v>
      </c>
      <c r="J44" s="589"/>
      <c r="K44" s="590"/>
      <c r="L44" s="411">
        <f t="shared" si="10"/>
        <v>0</v>
      </c>
      <c r="M44" s="589"/>
      <c r="N44" s="589"/>
      <c r="O44" s="411">
        <f t="shared" si="11"/>
        <v>0</v>
      </c>
      <c r="P44" s="409"/>
      <c r="Q44" s="410"/>
      <c r="R44" s="411"/>
      <c r="S44" s="409"/>
      <c r="T44" s="410"/>
      <c r="U44" s="411"/>
      <c r="V44" s="409"/>
      <c r="W44" s="410"/>
      <c r="X44" s="411"/>
      <c r="Y44" s="409"/>
      <c r="Z44" s="410"/>
      <c r="AA44" s="411"/>
      <c r="AB44" s="409"/>
      <c r="AC44" s="410"/>
      <c r="AD44" s="411"/>
      <c r="AE44" s="409"/>
      <c r="AF44" s="410"/>
      <c r="AG44" s="411"/>
      <c r="AH44" s="410"/>
      <c r="AI44" s="410"/>
      <c r="AJ44" s="411"/>
      <c r="AK44" s="410"/>
      <c r="AL44" s="410"/>
      <c r="AM44" s="411"/>
      <c r="AN44" s="410"/>
      <c r="AO44" s="410"/>
      <c r="AP44" s="411"/>
      <c r="AQ44" s="410"/>
      <c r="AR44" s="410"/>
      <c r="AS44" s="411"/>
      <c r="AT44" s="410"/>
      <c r="AU44" s="410"/>
      <c r="AV44" s="411"/>
      <c r="AW44" s="420"/>
    </row>
    <row r="45" spans="1:49" s="421" customFormat="1" ht="15.75" thickBot="1" x14ac:dyDescent="0.3">
      <c r="A45" s="689"/>
      <c r="B45" s="692"/>
      <c r="C45" s="394" t="s">
        <v>34</v>
      </c>
      <c r="D45" s="412"/>
      <c r="E45" s="413"/>
      <c r="F45" s="414"/>
      <c r="G45" s="589"/>
      <c r="H45" s="590"/>
      <c r="I45" s="417">
        <f>H45-G45</f>
        <v>0</v>
      </c>
      <c r="J45" s="589"/>
      <c r="K45" s="590"/>
      <c r="L45" s="417">
        <f>K45-J45</f>
        <v>0</v>
      </c>
      <c r="M45" s="589"/>
      <c r="N45" s="590"/>
      <c r="O45" s="417">
        <f>N45-M45</f>
        <v>0</v>
      </c>
      <c r="P45" s="409"/>
      <c r="Q45" s="410"/>
      <c r="R45" s="417"/>
      <c r="S45" s="415"/>
      <c r="T45" s="410"/>
      <c r="U45" s="417"/>
      <c r="V45" s="415"/>
      <c r="W45" s="410"/>
      <c r="X45" s="417"/>
      <c r="Y45" s="415"/>
      <c r="Z45" s="410"/>
      <c r="AA45" s="417"/>
      <c r="AB45" s="415"/>
      <c r="AC45" s="410"/>
      <c r="AD45" s="417"/>
      <c r="AE45" s="409"/>
      <c r="AF45" s="410"/>
      <c r="AG45" s="417"/>
      <c r="AH45" s="416"/>
      <c r="AI45" s="410"/>
      <c r="AJ45" s="417"/>
      <c r="AK45" s="416"/>
      <c r="AL45" s="410"/>
      <c r="AM45" s="417"/>
      <c r="AN45" s="416"/>
      <c r="AO45" s="410"/>
      <c r="AP45" s="417"/>
      <c r="AQ45" s="416"/>
      <c r="AR45" s="410"/>
      <c r="AS45" s="417"/>
      <c r="AT45" s="416"/>
      <c r="AU45" s="410"/>
      <c r="AV45" s="417"/>
      <c r="AW45" s="420"/>
    </row>
    <row r="46" spans="1:49" s="419" customFormat="1" ht="14.45" customHeight="1" x14ac:dyDescent="0.25">
      <c r="A46" s="687" t="s">
        <v>194</v>
      </c>
      <c r="B46" s="690" t="s">
        <v>38</v>
      </c>
      <c r="C46" s="379" t="s">
        <v>25</v>
      </c>
      <c r="D46" s="400">
        <f>SUM(G46,J46,M46,P46,S46,V46,Y46,AB46,AE46,AH46,AK46,AN46,AQ46,AT46)</f>
        <v>0</v>
      </c>
      <c r="E46" s="401">
        <f>SUM(H46,K46,N46,Q46,T46,W46,Z46,AC46,AF46,AI46,AL46,AO46,AR46,AU46)</f>
        <v>0</v>
      </c>
      <c r="F46" s="402">
        <f>D46-E46</f>
        <v>0</v>
      </c>
      <c r="G46" s="403"/>
      <c r="H46" s="404"/>
      <c r="I46" s="405">
        <f t="shared" ref="I46:I54" si="12">H46-G46</f>
        <v>0</v>
      </c>
      <c r="J46" s="587"/>
      <c r="K46" s="588"/>
      <c r="L46" s="405">
        <f t="shared" ref="L46:L54" si="13">K46-J46</f>
        <v>0</v>
      </c>
      <c r="M46" s="403"/>
      <c r="N46" s="403"/>
      <c r="O46" s="405">
        <f t="shared" ref="O46:O54" si="14">N46-M46</f>
        <v>0</v>
      </c>
      <c r="P46" s="403"/>
      <c r="Q46" s="403"/>
      <c r="R46" s="405"/>
      <c r="S46" s="403"/>
      <c r="T46" s="404"/>
      <c r="U46" s="405"/>
      <c r="V46" s="403"/>
      <c r="W46" s="404"/>
      <c r="X46" s="405"/>
      <c r="Y46" s="403"/>
      <c r="Z46" s="404"/>
      <c r="AA46" s="405"/>
      <c r="AB46" s="403"/>
      <c r="AC46" s="404"/>
      <c r="AD46" s="405"/>
      <c r="AE46" s="403"/>
      <c r="AF46" s="403"/>
      <c r="AG46" s="405"/>
      <c r="AH46" s="404"/>
      <c r="AI46" s="404"/>
      <c r="AJ46" s="405"/>
      <c r="AK46" s="404"/>
      <c r="AL46" s="404"/>
      <c r="AM46" s="405"/>
      <c r="AN46" s="404"/>
      <c r="AO46" s="404"/>
      <c r="AP46" s="405"/>
      <c r="AQ46" s="404"/>
      <c r="AR46" s="404"/>
      <c r="AS46" s="405"/>
      <c r="AT46" s="404"/>
      <c r="AU46" s="404"/>
      <c r="AV46" s="405"/>
      <c r="AW46" s="418">
        <f>'Analyza citlivosti - AgendovéIS'!Q7</f>
        <v>0</v>
      </c>
    </row>
    <row r="47" spans="1:49" s="421" customFormat="1" x14ac:dyDescent="0.25">
      <c r="A47" s="688"/>
      <c r="B47" s="691"/>
      <c r="C47" s="387" t="s">
        <v>26</v>
      </c>
      <c r="D47" s="406">
        <f>SUM(G47,J47,M47,P47,S47,V47,Y47,AB47,AE47,AH47,AK47,AN47,AQ47,AT47)</f>
        <v>0</v>
      </c>
      <c r="E47" s="407">
        <f>SUM(H47,K47,N47,Q47,T47,W47,Z47,AC47,AF47,AI47,AL47,AO47,AR47,AU47)</f>
        <v>0</v>
      </c>
      <c r="F47" s="408">
        <f t="shared" ref="F47:F55" si="15">D47-E47</f>
        <v>0</v>
      </c>
      <c r="G47" s="409"/>
      <c r="H47" s="410"/>
      <c r="I47" s="411">
        <f t="shared" si="12"/>
        <v>0</v>
      </c>
      <c r="J47" s="589"/>
      <c r="K47" s="590"/>
      <c r="L47" s="411">
        <f t="shared" si="13"/>
        <v>0</v>
      </c>
      <c r="M47" s="409"/>
      <c r="N47" s="410"/>
      <c r="O47" s="411">
        <f t="shared" si="14"/>
        <v>0</v>
      </c>
      <c r="P47" s="409"/>
      <c r="Q47" s="410"/>
      <c r="R47" s="411"/>
      <c r="S47" s="409"/>
      <c r="T47" s="410"/>
      <c r="U47" s="411"/>
      <c r="V47" s="409"/>
      <c r="W47" s="410"/>
      <c r="X47" s="411"/>
      <c r="Y47" s="409"/>
      <c r="Z47" s="410"/>
      <c r="AA47" s="411"/>
      <c r="AB47" s="409"/>
      <c r="AC47" s="410"/>
      <c r="AD47" s="411"/>
      <c r="AE47" s="409"/>
      <c r="AF47" s="410"/>
      <c r="AG47" s="411"/>
      <c r="AH47" s="410"/>
      <c r="AI47" s="410"/>
      <c r="AJ47" s="411"/>
      <c r="AK47" s="410"/>
      <c r="AL47" s="410"/>
      <c r="AM47" s="411"/>
      <c r="AN47" s="410"/>
      <c r="AO47" s="410"/>
      <c r="AP47" s="411"/>
      <c r="AQ47" s="410"/>
      <c r="AR47" s="410"/>
      <c r="AS47" s="411"/>
      <c r="AT47" s="410"/>
      <c r="AU47" s="410"/>
      <c r="AV47" s="411"/>
      <c r="AW47" s="420"/>
    </row>
    <row r="48" spans="1:49" s="421" customFormat="1" x14ac:dyDescent="0.25">
      <c r="A48" s="688"/>
      <c r="B48" s="691"/>
      <c r="C48" s="387" t="s">
        <v>27</v>
      </c>
      <c r="D48" s="406">
        <f t="shared" ref="D48:D55" si="16">SUM(G48,J48,M48,P48,S48,V48,Y48,AB48,AE48,AH48,AK48,AN48,AQ48,AT48)</f>
        <v>0</v>
      </c>
      <c r="E48" s="407">
        <f t="shared" ref="E48:E55" si="17">SUM(H48,K48,N48,Q48,T48,W48,Z48,AC48,AF48,AI48,AL48,AO48,AR48,AU48)</f>
        <v>0</v>
      </c>
      <c r="F48" s="408">
        <f t="shared" si="15"/>
        <v>0</v>
      </c>
      <c r="G48" s="589"/>
      <c r="H48" s="410"/>
      <c r="I48" s="411">
        <f t="shared" si="12"/>
        <v>0</v>
      </c>
      <c r="J48" s="589"/>
      <c r="K48" s="410"/>
      <c r="L48" s="411">
        <f t="shared" si="13"/>
        <v>0</v>
      </c>
      <c r="M48" s="409"/>
      <c r="N48" s="410"/>
      <c r="O48" s="411">
        <f t="shared" si="14"/>
        <v>0</v>
      </c>
      <c r="P48" s="409"/>
      <c r="Q48" s="410"/>
      <c r="R48" s="411"/>
      <c r="S48" s="409"/>
      <c r="T48" s="410"/>
      <c r="U48" s="411"/>
      <c r="V48" s="409"/>
      <c r="W48" s="410"/>
      <c r="X48" s="411"/>
      <c r="Y48" s="409"/>
      <c r="Z48" s="410"/>
      <c r="AA48" s="411"/>
      <c r="AB48" s="409"/>
      <c r="AC48" s="410"/>
      <c r="AD48" s="411"/>
      <c r="AE48" s="409"/>
      <c r="AF48" s="410"/>
      <c r="AG48" s="411"/>
      <c r="AH48" s="410"/>
      <c r="AI48" s="410"/>
      <c r="AJ48" s="411"/>
      <c r="AK48" s="410"/>
      <c r="AL48" s="410"/>
      <c r="AM48" s="411"/>
      <c r="AN48" s="410"/>
      <c r="AO48" s="410"/>
      <c r="AP48" s="411"/>
      <c r="AQ48" s="410"/>
      <c r="AR48" s="410"/>
      <c r="AS48" s="411"/>
      <c r="AT48" s="410"/>
      <c r="AU48" s="410"/>
      <c r="AV48" s="411"/>
      <c r="AW48" s="420"/>
    </row>
    <row r="49" spans="1:49" s="421" customFormat="1" x14ac:dyDescent="0.25">
      <c r="A49" s="688"/>
      <c r="B49" s="691"/>
      <c r="C49" s="387" t="s">
        <v>28</v>
      </c>
      <c r="D49" s="406">
        <f t="shared" si="16"/>
        <v>0</v>
      </c>
      <c r="E49" s="407">
        <f t="shared" si="17"/>
        <v>0</v>
      </c>
      <c r="F49" s="408">
        <f t="shared" si="15"/>
        <v>0</v>
      </c>
      <c r="G49" s="589"/>
      <c r="H49" s="590"/>
      <c r="I49" s="411">
        <f t="shared" si="12"/>
        <v>0</v>
      </c>
      <c r="J49" s="589"/>
      <c r="K49" s="590"/>
      <c r="L49" s="411">
        <f t="shared" si="13"/>
        <v>0</v>
      </c>
      <c r="M49" s="589"/>
      <c r="N49" s="590"/>
      <c r="O49" s="411">
        <f t="shared" si="14"/>
        <v>0</v>
      </c>
      <c r="P49" s="409"/>
      <c r="Q49" s="410"/>
      <c r="R49" s="411"/>
      <c r="S49" s="409"/>
      <c r="T49" s="410"/>
      <c r="U49" s="411"/>
      <c r="V49" s="409"/>
      <c r="W49" s="410"/>
      <c r="X49" s="411"/>
      <c r="Y49" s="409"/>
      <c r="Z49" s="410"/>
      <c r="AA49" s="411"/>
      <c r="AB49" s="409"/>
      <c r="AC49" s="410"/>
      <c r="AD49" s="411"/>
      <c r="AE49" s="409"/>
      <c r="AF49" s="410"/>
      <c r="AG49" s="411"/>
      <c r="AH49" s="410"/>
      <c r="AI49" s="410"/>
      <c r="AJ49" s="411"/>
      <c r="AK49" s="410"/>
      <c r="AL49" s="410"/>
      <c r="AM49" s="411"/>
      <c r="AN49" s="410"/>
      <c r="AO49" s="410"/>
      <c r="AP49" s="411"/>
      <c r="AQ49" s="410"/>
      <c r="AR49" s="410"/>
      <c r="AS49" s="411"/>
      <c r="AT49" s="410"/>
      <c r="AU49" s="410"/>
      <c r="AV49" s="411"/>
      <c r="AW49" s="420"/>
    </row>
    <row r="50" spans="1:49" s="421" customFormat="1" x14ac:dyDescent="0.25">
      <c r="A50" s="688"/>
      <c r="B50" s="691"/>
      <c r="C50" s="387" t="s">
        <v>29</v>
      </c>
      <c r="D50" s="406">
        <f t="shared" si="16"/>
        <v>0</v>
      </c>
      <c r="E50" s="407">
        <f t="shared" si="17"/>
        <v>0</v>
      </c>
      <c r="F50" s="408">
        <f t="shared" si="15"/>
        <v>0</v>
      </c>
      <c r="G50" s="589"/>
      <c r="H50" s="590"/>
      <c r="I50" s="411">
        <f t="shared" si="12"/>
        <v>0</v>
      </c>
      <c r="J50" s="589"/>
      <c r="K50" s="590"/>
      <c r="L50" s="411">
        <f t="shared" si="13"/>
        <v>0</v>
      </c>
      <c r="M50" s="589"/>
      <c r="N50" s="590"/>
      <c r="O50" s="411">
        <f t="shared" si="14"/>
        <v>0</v>
      </c>
      <c r="P50" s="409"/>
      <c r="Q50" s="410"/>
      <c r="R50" s="411"/>
      <c r="S50" s="409"/>
      <c r="T50" s="410"/>
      <c r="U50" s="411"/>
      <c r="V50" s="409"/>
      <c r="W50" s="410"/>
      <c r="X50" s="411"/>
      <c r="Y50" s="409"/>
      <c r="Z50" s="410"/>
      <c r="AA50" s="411"/>
      <c r="AB50" s="409"/>
      <c r="AC50" s="410"/>
      <c r="AD50" s="411"/>
      <c r="AE50" s="409"/>
      <c r="AF50" s="410"/>
      <c r="AG50" s="411"/>
      <c r="AH50" s="410"/>
      <c r="AI50" s="410"/>
      <c r="AJ50" s="411"/>
      <c r="AK50" s="410"/>
      <c r="AL50" s="410"/>
      <c r="AM50" s="411"/>
      <c r="AN50" s="410"/>
      <c r="AO50" s="410"/>
      <c r="AP50" s="411"/>
      <c r="AQ50" s="410"/>
      <c r="AR50" s="410"/>
      <c r="AS50" s="411"/>
      <c r="AT50" s="410"/>
      <c r="AU50" s="410"/>
      <c r="AV50" s="411"/>
      <c r="AW50" s="420"/>
    </row>
    <row r="51" spans="1:49" s="421" customFormat="1" x14ac:dyDescent="0.25">
      <c r="A51" s="688"/>
      <c r="B51" s="691"/>
      <c r="C51" s="387" t="s">
        <v>30</v>
      </c>
      <c r="D51" s="406">
        <f t="shared" si="16"/>
        <v>0</v>
      </c>
      <c r="E51" s="407">
        <f t="shared" si="17"/>
        <v>0</v>
      </c>
      <c r="F51" s="408">
        <f t="shared" si="15"/>
        <v>0</v>
      </c>
      <c r="G51" s="589"/>
      <c r="H51" s="590"/>
      <c r="I51" s="411">
        <f t="shared" si="12"/>
        <v>0</v>
      </c>
      <c r="J51" s="589"/>
      <c r="K51" s="590"/>
      <c r="L51" s="411">
        <f t="shared" si="13"/>
        <v>0</v>
      </c>
      <c r="M51" s="589"/>
      <c r="N51" s="590"/>
      <c r="O51" s="411">
        <f t="shared" si="14"/>
        <v>0</v>
      </c>
      <c r="P51" s="409"/>
      <c r="Q51" s="410"/>
      <c r="R51" s="411"/>
      <c r="S51" s="409"/>
      <c r="T51" s="410"/>
      <c r="U51" s="411"/>
      <c r="V51" s="409"/>
      <c r="W51" s="410"/>
      <c r="X51" s="411"/>
      <c r="Y51" s="409"/>
      <c r="Z51" s="410"/>
      <c r="AA51" s="411"/>
      <c r="AB51" s="409"/>
      <c r="AC51" s="410"/>
      <c r="AD51" s="411"/>
      <c r="AE51" s="409"/>
      <c r="AF51" s="410"/>
      <c r="AG51" s="411"/>
      <c r="AH51" s="410"/>
      <c r="AI51" s="410"/>
      <c r="AJ51" s="411"/>
      <c r="AK51" s="410"/>
      <c r="AL51" s="410"/>
      <c r="AM51" s="411"/>
      <c r="AN51" s="410"/>
      <c r="AO51" s="410"/>
      <c r="AP51" s="411"/>
      <c r="AQ51" s="410"/>
      <c r="AR51" s="410"/>
      <c r="AS51" s="411"/>
      <c r="AT51" s="410"/>
      <c r="AU51" s="410"/>
      <c r="AV51" s="411"/>
      <c r="AW51" s="420"/>
    </row>
    <row r="52" spans="1:49" s="421" customFormat="1" x14ac:dyDescent="0.25">
      <c r="A52" s="688"/>
      <c r="B52" s="691"/>
      <c r="C52" s="387" t="s">
        <v>31</v>
      </c>
      <c r="D52" s="406">
        <f t="shared" si="16"/>
        <v>0</v>
      </c>
      <c r="E52" s="407">
        <f t="shared" si="17"/>
        <v>0</v>
      </c>
      <c r="F52" s="408">
        <f t="shared" si="15"/>
        <v>0</v>
      </c>
      <c r="G52" s="589"/>
      <c r="H52" s="590"/>
      <c r="I52" s="411">
        <f t="shared" si="12"/>
        <v>0</v>
      </c>
      <c r="J52" s="589"/>
      <c r="K52" s="590"/>
      <c r="L52" s="411">
        <f t="shared" si="13"/>
        <v>0</v>
      </c>
      <c r="M52" s="589"/>
      <c r="N52" s="590"/>
      <c r="O52" s="411">
        <f t="shared" si="14"/>
        <v>0</v>
      </c>
      <c r="P52" s="409"/>
      <c r="Q52" s="410"/>
      <c r="R52" s="411"/>
      <c r="S52" s="409"/>
      <c r="T52" s="410"/>
      <c r="U52" s="411"/>
      <c r="V52" s="409"/>
      <c r="W52" s="410"/>
      <c r="X52" s="411"/>
      <c r="Y52" s="409"/>
      <c r="Z52" s="410"/>
      <c r="AA52" s="411"/>
      <c r="AB52" s="409"/>
      <c r="AC52" s="410"/>
      <c r="AD52" s="411"/>
      <c r="AE52" s="409"/>
      <c r="AF52" s="410"/>
      <c r="AG52" s="411"/>
      <c r="AH52" s="410"/>
      <c r="AI52" s="410"/>
      <c r="AJ52" s="411"/>
      <c r="AK52" s="410"/>
      <c r="AL52" s="410"/>
      <c r="AM52" s="411"/>
      <c r="AN52" s="410"/>
      <c r="AO52" s="410"/>
      <c r="AP52" s="411"/>
      <c r="AQ52" s="410"/>
      <c r="AR52" s="410"/>
      <c r="AS52" s="411"/>
      <c r="AT52" s="410"/>
      <c r="AU52" s="410"/>
      <c r="AV52" s="411"/>
      <c r="AW52" s="420"/>
    </row>
    <row r="53" spans="1:49" s="421" customFormat="1" x14ac:dyDescent="0.25">
      <c r="A53" s="688"/>
      <c r="B53" s="691"/>
      <c r="C53" s="387" t="s">
        <v>32</v>
      </c>
      <c r="D53" s="406">
        <f t="shared" si="16"/>
        <v>0</v>
      </c>
      <c r="E53" s="407">
        <f t="shared" si="17"/>
        <v>0</v>
      </c>
      <c r="F53" s="408">
        <f t="shared" si="15"/>
        <v>0</v>
      </c>
      <c r="G53" s="589"/>
      <c r="H53" s="590"/>
      <c r="I53" s="411">
        <f t="shared" si="12"/>
        <v>0</v>
      </c>
      <c r="J53" s="589"/>
      <c r="K53" s="590"/>
      <c r="L53" s="411">
        <f t="shared" si="13"/>
        <v>0</v>
      </c>
      <c r="M53" s="589"/>
      <c r="N53" s="590"/>
      <c r="O53" s="411">
        <f t="shared" si="14"/>
        <v>0</v>
      </c>
      <c r="P53" s="409"/>
      <c r="Q53" s="410"/>
      <c r="R53" s="411"/>
      <c r="S53" s="409"/>
      <c r="T53" s="410"/>
      <c r="U53" s="411"/>
      <c r="V53" s="409"/>
      <c r="W53" s="410"/>
      <c r="X53" s="411"/>
      <c r="Y53" s="409"/>
      <c r="Z53" s="410"/>
      <c r="AA53" s="411"/>
      <c r="AB53" s="409"/>
      <c r="AC53" s="410"/>
      <c r="AD53" s="411"/>
      <c r="AE53" s="409"/>
      <c r="AF53" s="410"/>
      <c r="AG53" s="411"/>
      <c r="AH53" s="410"/>
      <c r="AI53" s="410"/>
      <c r="AJ53" s="411"/>
      <c r="AK53" s="410"/>
      <c r="AL53" s="410"/>
      <c r="AM53" s="411"/>
      <c r="AN53" s="410"/>
      <c r="AO53" s="410"/>
      <c r="AP53" s="411"/>
      <c r="AQ53" s="410"/>
      <c r="AR53" s="410"/>
      <c r="AS53" s="411"/>
      <c r="AT53" s="410"/>
      <c r="AU53" s="410"/>
      <c r="AV53" s="411"/>
      <c r="AW53" s="420"/>
    </row>
    <row r="54" spans="1:49" s="421" customFormat="1" x14ac:dyDescent="0.25">
      <c r="A54" s="688"/>
      <c r="B54" s="691"/>
      <c r="C54" s="387" t="s">
        <v>33</v>
      </c>
      <c r="D54" s="406">
        <f t="shared" si="16"/>
        <v>0</v>
      </c>
      <c r="E54" s="407">
        <f t="shared" si="17"/>
        <v>0</v>
      </c>
      <c r="F54" s="408">
        <f t="shared" si="15"/>
        <v>0</v>
      </c>
      <c r="G54" s="589"/>
      <c r="H54" s="590"/>
      <c r="I54" s="411">
        <f t="shared" si="12"/>
        <v>0</v>
      </c>
      <c r="J54" s="589"/>
      <c r="K54" s="590"/>
      <c r="L54" s="411">
        <f t="shared" si="13"/>
        <v>0</v>
      </c>
      <c r="M54" s="589"/>
      <c r="N54" s="590"/>
      <c r="O54" s="411">
        <f t="shared" si="14"/>
        <v>0</v>
      </c>
      <c r="P54" s="409"/>
      <c r="Q54" s="410"/>
      <c r="R54" s="411"/>
      <c r="S54" s="409"/>
      <c r="T54" s="410"/>
      <c r="U54" s="411"/>
      <c r="V54" s="409"/>
      <c r="W54" s="410"/>
      <c r="X54" s="411"/>
      <c r="Y54" s="409"/>
      <c r="Z54" s="410"/>
      <c r="AA54" s="411"/>
      <c r="AB54" s="409"/>
      <c r="AC54" s="410"/>
      <c r="AD54" s="411"/>
      <c r="AE54" s="409"/>
      <c r="AF54" s="410"/>
      <c r="AG54" s="411"/>
      <c r="AH54" s="410"/>
      <c r="AI54" s="410"/>
      <c r="AJ54" s="411"/>
      <c r="AK54" s="410"/>
      <c r="AL54" s="410"/>
      <c r="AM54" s="411"/>
      <c r="AN54" s="410"/>
      <c r="AO54" s="410"/>
      <c r="AP54" s="411"/>
      <c r="AQ54" s="410"/>
      <c r="AR54" s="410"/>
      <c r="AS54" s="411"/>
      <c r="AT54" s="410"/>
      <c r="AU54" s="410"/>
      <c r="AV54" s="411"/>
      <c r="AW54" s="420"/>
    </row>
    <row r="55" spans="1:49" s="421" customFormat="1" ht="15.75" thickBot="1" x14ac:dyDescent="0.3">
      <c r="A55" s="689"/>
      <c r="B55" s="692"/>
      <c r="C55" s="394" t="s">
        <v>34</v>
      </c>
      <c r="D55" s="406">
        <f t="shared" si="16"/>
        <v>0</v>
      </c>
      <c r="E55" s="407">
        <f t="shared" si="17"/>
        <v>0</v>
      </c>
      <c r="F55" s="414">
        <f t="shared" si="15"/>
        <v>0</v>
      </c>
      <c r="G55" s="589"/>
      <c r="H55" s="590"/>
      <c r="I55" s="417">
        <f>H55-G55</f>
        <v>0</v>
      </c>
      <c r="J55" s="589"/>
      <c r="K55" s="590"/>
      <c r="L55" s="417">
        <f>K55-J55</f>
        <v>0</v>
      </c>
      <c r="M55" s="589"/>
      <c r="N55" s="590"/>
      <c r="O55" s="417">
        <f>N55-M55</f>
        <v>0</v>
      </c>
      <c r="P55" s="409"/>
      <c r="Q55" s="410"/>
      <c r="R55" s="417"/>
      <c r="S55" s="409"/>
      <c r="T55" s="410"/>
      <c r="U55" s="417"/>
      <c r="V55" s="409"/>
      <c r="W55" s="410"/>
      <c r="X55" s="417"/>
      <c r="Y55" s="409"/>
      <c r="Z55" s="410"/>
      <c r="AA55" s="417"/>
      <c r="AB55" s="409"/>
      <c r="AC55" s="410"/>
      <c r="AD55" s="417"/>
      <c r="AE55" s="409"/>
      <c r="AF55" s="410"/>
      <c r="AG55" s="417"/>
      <c r="AH55" s="416"/>
      <c r="AI55" s="416"/>
      <c r="AJ55" s="417"/>
      <c r="AK55" s="416"/>
      <c r="AL55" s="410"/>
      <c r="AM55" s="417"/>
      <c r="AN55" s="416"/>
      <c r="AO55" s="416"/>
      <c r="AP55" s="417"/>
      <c r="AQ55" s="416"/>
      <c r="AR55" s="416"/>
      <c r="AS55" s="417"/>
      <c r="AT55" s="416"/>
      <c r="AU55" s="416"/>
      <c r="AV55" s="417"/>
      <c r="AW55" s="420"/>
    </row>
    <row r="56" spans="1:49" s="419" customFormat="1" ht="14.25" customHeight="1" x14ac:dyDescent="0.25">
      <c r="A56" s="688" t="s">
        <v>39</v>
      </c>
      <c r="B56" s="691" t="s">
        <v>13</v>
      </c>
      <c r="C56" s="387" t="s">
        <v>25</v>
      </c>
      <c r="D56" s="380">
        <f t="shared" ref="D56:E65" si="18">G56+J56+M56+P56+S56+V56+Y56+AB56+AE56+AH56+AK56+AN56+AQ56+AT56</f>
        <v>0</v>
      </c>
      <c r="E56" s="381">
        <f t="shared" si="18"/>
        <v>0</v>
      </c>
      <c r="F56" s="382">
        <f t="shared" ref="F56:F65" si="19">I56+L56+O56+R56+U56+X56+AA56+AD56+AG56+AJ56+AM56+AP56+AS56+AV56</f>
        <v>0</v>
      </c>
      <c r="G56" s="383"/>
      <c r="H56" s="383"/>
      <c r="I56" s="384">
        <f t="shared" ref="I56:I65" si="20">H56-G56</f>
        <v>0</v>
      </c>
      <c r="J56" s="383"/>
      <c r="K56" s="383"/>
      <c r="L56" s="384">
        <f t="shared" ref="L56:L65" si="21">K56-J56</f>
        <v>0</v>
      </c>
      <c r="M56" s="383"/>
      <c r="N56" s="383"/>
      <c r="O56" s="384">
        <f t="shared" ref="O56:O65" si="22">N56-M56</f>
        <v>0</v>
      </c>
      <c r="P56" s="383"/>
      <c r="Q56" s="383"/>
      <c r="R56" s="384"/>
      <c r="S56" s="383"/>
      <c r="T56" s="383"/>
      <c r="U56" s="384"/>
      <c r="V56" s="383"/>
      <c r="W56" s="383"/>
      <c r="X56" s="384"/>
      <c r="Y56" s="383"/>
      <c r="Z56" s="383"/>
      <c r="AA56" s="384"/>
      <c r="AB56" s="383"/>
      <c r="AC56" s="383"/>
      <c r="AD56" s="384"/>
      <c r="AE56" s="383"/>
      <c r="AF56" s="383"/>
      <c r="AG56" s="384"/>
      <c r="AH56" s="383"/>
      <c r="AI56" s="383"/>
      <c r="AJ56" s="384"/>
      <c r="AK56" s="383"/>
      <c r="AL56" s="383"/>
      <c r="AM56" s="384"/>
      <c r="AN56" s="383"/>
      <c r="AO56" s="383"/>
      <c r="AP56" s="384"/>
      <c r="AQ56" s="383"/>
      <c r="AR56" s="383"/>
      <c r="AS56" s="384"/>
      <c r="AT56" s="383"/>
      <c r="AU56" s="383"/>
      <c r="AV56" s="384"/>
      <c r="AW56" s="418"/>
    </row>
    <row r="57" spans="1:49" s="421" customFormat="1" x14ac:dyDescent="0.25">
      <c r="A57" s="688"/>
      <c r="B57" s="691"/>
      <c r="C57" s="387" t="s">
        <v>26</v>
      </c>
      <c r="D57" s="388">
        <f t="shared" si="18"/>
        <v>0</v>
      </c>
      <c r="E57" s="389">
        <f t="shared" si="18"/>
        <v>0</v>
      </c>
      <c r="F57" s="390">
        <f t="shared" si="19"/>
        <v>0</v>
      </c>
      <c r="G57" s="392"/>
      <c r="H57" s="392"/>
      <c r="I57" s="393">
        <f t="shared" si="20"/>
        <v>0</v>
      </c>
      <c r="J57" s="392"/>
      <c r="K57" s="392"/>
      <c r="L57" s="393">
        <f t="shared" si="21"/>
        <v>0</v>
      </c>
      <c r="M57" s="392"/>
      <c r="N57" s="392"/>
      <c r="O57" s="393">
        <f t="shared" si="22"/>
        <v>0</v>
      </c>
      <c r="P57" s="392"/>
      <c r="Q57" s="392"/>
      <c r="R57" s="393"/>
      <c r="S57" s="392"/>
      <c r="T57" s="392"/>
      <c r="U57" s="393"/>
      <c r="V57" s="392"/>
      <c r="W57" s="392"/>
      <c r="X57" s="393"/>
      <c r="Y57" s="392"/>
      <c r="Z57" s="392"/>
      <c r="AA57" s="393"/>
      <c r="AB57" s="392"/>
      <c r="AC57" s="392"/>
      <c r="AD57" s="393"/>
      <c r="AE57" s="392"/>
      <c r="AF57" s="392"/>
      <c r="AG57" s="393"/>
      <c r="AH57" s="392"/>
      <c r="AI57" s="392"/>
      <c r="AJ57" s="393"/>
      <c r="AK57" s="392"/>
      <c r="AL57" s="392"/>
      <c r="AM57" s="393"/>
      <c r="AN57" s="392"/>
      <c r="AO57" s="392"/>
      <c r="AP57" s="393"/>
      <c r="AQ57" s="392"/>
      <c r="AR57" s="392"/>
      <c r="AS57" s="393"/>
      <c r="AT57" s="392"/>
      <c r="AU57" s="392"/>
      <c r="AV57" s="393"/>
      <c r="AW57" s="420"/>
    </row>
    <row r="58" spans="1:49" s="421" customFormat="1" x14ac:dyDescent="0.25">
      <c r="A58" s="688"/>
      <c r="B58" s="691"/>
      <c r="C58" s="387" t="s">
        <v>27</v>
      </c>
      <c r="D58" s="388">
        <f t="shared" si="18"/>
        <v>0</v>
      </c>
      <c r="E58" s="389">
        <f t="shared" si="18"/>
        <v>0</v>
      </c>
      <c r="F58" s="390">
        <f t="shared" si="19"/>
        <v>0</v>
      </c>
      <c r="G58" s="392"/>
      <c r="H58" s="392"/>
      <c r="I58" s="393">
        <f t="shared" si="20"/>
        <v>0</v>
      </c>
      <c r="J58" s="392"/>
      <c r="K58" s="392"/>
      <c r="L58" s="393">
        <f t="shared" si="21"/>
        <v>0</v>
      </c>
      <c r="M58" s="392"/>
      <c r="N58" s="392"/>
      <c r="O58" s="393">
        <f t="shared" si="22"/>
        <v>0</v>
      </c>
      <c r="P58" s="392"/>
      <c r="Q58" s="392"/>
      <c r="R58" s="393"/>
      <c r="S58" s="392"/>
      <c r="T58" s="392"/>
      <c r="U58" s="393"/>
      <c r="V58" s="392"/>
      <c r="W58" s="392"/>
      <c r="X58" s="393"/>
      <c r="Y58" s="392"/>
      <c r="Z58" s="392"/>
      <c r="AA58" s="393"/>
      <c r="AB58" s="392"/>
      <c r="AC58" s="392"/>
      <c r="AD58" s="393"/>
      <c r="AE58" s="392"/>
      <c r="AF58" s="392"/>
      <c r="AG58" s="393"/>
      <c r="AH58" s="392"/>
      <c r="AI58" s="392"/>
      <c r="AJ58" s="393"/>
      <c r="AK58" s="392"/>
      <c r="AL58" s="392"/>
      <c r="AM58" s="393"/>
      <c r="AN58" s="392"/>
      <c r="AO58" s="392"/>
      <c r="AP58" s="393"/>
      <c r="AQ58" s="392"/>
      <c r="AR58" s="392"/>
      <c r="AS58" s="393"/>
      <c r="AT58" s="392"/>
      <c r="AU58" s="392"/>
      <c r="AV58" s="393"/>
      <c r="AW58" s="420"/>
    </row>
    <row r="59" spans="1:49" s="421" customFormat="1" x14ac:dyDescent="0.25">
      <c r="A59" s="688"/>
      <c r="B59" s="691"/>
      <c r="C59" s="387" t="s">
        <v>28</v>
      </c>
      <c r="D59" s="388">
        <f t="shared" si="18"/>
        <v>0</v>
      </c>
      <c r="E59" s="389">
        <f t="shared" si="18"/>
        <v>0</v>
      </c>
      <c r="F59" s="390">
        <f t="shared" si="19"/>
        <v>0</v>
      </c>
      <c r="G59" s="392"/>
      <c r="H59" s="392"/>
      <c r="I59" s="393">
        <f t="shared" si="20"/>
        <v>0</v>
      </c>
      <c r="J59" s="392"/>
      <c r="K59" s="392"/>
      <c r="L59" s="393">
        <f t="shared" si="21"/>
        <v>0</v>
      </c>
      <c r="M59" s="392"/>
      <c r="N59" s="392"/>
      <c r="O59" s="393">
        <f t="shared" si="22"/>
        <v>0</v>
      </c>
      <c r="P59" s="392"/>
      <c r="Q59" s="392"/>
      <c r="R59" s="393"/>
      <c r="S59" s="392"/>
      <c r="T59" s="392"/>
      <c r="U59" s="393"/>
      <c r="V59" s="392"/>
      <c r="W59" s="392"/>
      <c r="X59" s="393"/>
      <c r="Y59" s="392"/>
      <c r="Z59" s="392"/>
      <c r="AA59" s="393"/>
      <c r="AB59" s="392"/>
      <c r="AC59" s="392"/>
      <c r="AD59" s="393"/>
      <c r="AE59" s="392"/>
      <c r="AF59" s="392"/>
      <c r="AG59" s="393"/>
      <c r="AH59" s="392"/>
      <c r="AI59" s="392"/>
      <c r="AJ59" s="393"/>
      <c r="AK59" s="392"/>
      <c r="AL59" s="392"/>
      <c r="AM59" s="393"/>
      <c r="AN59" s="392"/>
      <c r="AO59" s="392"/>
      <c r="AP59" s="393"/>
      <c r="AQ59" s="392"/>
      <c r="AR59" s="392"/>
      <c r="AS59" s="393"/>
      <c r="AT59" s="392"/>
      <c r="AU59" s="392"/>
      <c r="AV59" s="393"/>
      <c r="AW59" s="420"/>
    </row>
    <row r="60" spans="1:49" s="421" customFormat="1" x14ac:dyDescent="0.25">
      <c r="A60" s="688"/>
      <c r="B60" s="691"/>
      <c r="C60" s="387" t="s">
        <v>29</v>
      </c>
      <c r="D60" s="388">
        <f t="shared" si="18"/>
        <v>0</v>
      </c>
      <c r="E60" s="389">
        <f t="shared" si="18"/>
        <v>0</v>
      </c>
      <c r="F60" s="390">
        <f t="shared" si="19"/>
        <v>0</v>
      </c>
      <c r="G60" s="392"/>
      <c r="H60" s="392"/>
      <c r="I60" s="393">
        <f t="shared" si="20"/>
        <v>0</v>
      </c>
      <c r="J60" s="392"/>
      <c r="K60" s="392"/>
      <c r="L60" s="393">
        <f t="shared" si="21"/>
        <v>0</v>
      </c>
      <c r="M60" s="392"/>
      <c r="N60" s="392"/>
      <c r="O60" s="393">
        <f t="shared" si="22"/>
        <v>0</v>
      </c>
      <c r="P60" s="392"/>
      <c r="Q60" s="392"/>
      <c r="R60" s="393"/>
      <c r="S60" s="392"/>
      <c r="T60" s="392"/>
      <c r="U60" s="393"/>
      <c r="V60" s="392"/>
      <c r="W60" s="392"/>
      <c r="X60" s="393"/>
      <c r="Y60" s="392"/>
      <c r="Z60" s="392"/>
      <c r="AA60" s="393"/>
      <c r="AB60" s="392"/>
      <c r="AC60" s="392"/>
      <c r="AD60" s="393"/>
      <c r="AE60" s="392"/>
      <c r="AF60" s="392"/>
      <c r="AG60" s="393"/>
      <c r="AH60" s="392"/>
      <c r="AI60" s="392"/>
      <c r="AJ60" s="393"/>
      <c r="AK60" s="392"/>
      <c r="AL60" s="392"/>
      <c r="AM60" s="393"/>
      <c r="AN60" s="392"/>
      <c r="AO60" s="392"/>
      <c r="AP60" s="393"/>
      <c r="AQ60" s="392"/>
      <c r="AR60" s="392"/>
      <c r="AS60" s="393"/>
      <c r="AT60" s="392"/>
      <c r="AU60" s="392"/>
      <c r="AV60" s="393"/>
      <c r="AW60" s="420"/>
    </row>
    <row r="61" spans="1:49" s="421" customFormat="1" x14ac:dyDescent="0.25">
      <c r="A61" s="688"/>
      <c r="B61" s="691"/>
      <c r="C61" s="387" t="s">
        <v>30</v>
      </c>
      <c r="D61" s="388">
        <f t="shared" si="18"/>
        <v>0</v>
      </c>
      <c r="E61" s="389">
        <f t="shared" si="18"/>
        <v>0</v>
      </c>
      <c r="F61" s="390">
        <f t="shared" si="19"/>
        <v>0</v>
      </c>
      <c r="G61" s="392"/>
      <c r="H61" s="392"/>
      <c r="I61" s="393">
        <f t="shared" si="20"/>
        <v>0</v>
      </c>
      <c r="J61" s="392"/>
      <c r="K61" s="392"/>
      <c r="L61" s="393">
        <f t="shared" si="21"/>
        <v>0</v>
      </c>
      <c r="M61" s="392"/>
      <c r="N61" s="392"/>
      <c r="O61" s="393">
        <f t="shared" si="22"/>
        <v>0</v>
      </c>
      <c r="P61" s="392"/>
      <c r="Q61" s="392"/>
      <c r="R61" s="393"/>
      <c r="S61" s="392"/>
      <c r="T61" s="392"/>
      <c r="U61" s="393"/>
      <c r="V61" s="392"/>
      <c r="W61" s="392"/>
      <c r="X61" s="393"/>
      <c r="Y61" s="392"/>
      <c r="Z61" s="392"/>
      <c r="AA61" s="393"/>
      <c r="AB61" s="392"/>
      <c r="AC61" s="392"/>
      <c r="AD61" s="393"/>
      <c r="AE61" s="392"/>
      <c r="AF61" s="392"/>
      <c r="AG61" s="393"/>
      <c r="AH61" s="392"/>
      <c r="AI61" s="392"/>
      <c r="AJ61" s="393"/>
      <c r="AK61" s="392"/>
      <c r="AL61" s="392"/>
      <c r="AM61" s="393"/>
      <c r="AN61" s="392"/>
      <c r="AO61" s="392"/>
      <c r="AP61" s="393"/>
      <c r="AQ61" s="392"/>
      <c r="AR61" s="392"/>
      <c r="AS61" s="393"/>
      <c r="AT61" s="392"/>
      <c r="AU61" s="392"/>
      <c r="AV61" s="393"/>
      <c r="AW61" s="420"/>
    </row>
    <row r="62" spans="1:49" s="421" customFormat="1" x14ac:dyDescent="0.25">
      <c r="A62" s="688"/>
      <c r="B62" s="691"/>
      <c r="C62" s="387" t="s">
        <v>31</v>
      </c>
      <c r="D62" s="388">
        <f t="shared" si="18"/>
        <v>0</v>
      </c>
      <c r="E62" s="389">
        <f t="shared" si="18"/>
        <v>0</v>
      </c>
      <c r="F62" s="390">
        <f t="shared" si="19"/>
        <v>0</v>
      </c>
      <c r="G62" s="392"/>
      <c r="H62" s="392"/>
      <c r="I62" s="393">
        <f t="shared" si="20"/>
        <v>0</v>
      </c>
      <c r="J62" s="392"/>
      <c r="K62" s="392"/>
      <c r="L62" s="393">
        <f t="shared" si="21"/>
        <v>0</v>
      </c>
      <c r="M62" s="392"/>
      <c r="N62" s="392"/>
      <c r="O62" s="393">
        <f t="shared" si="22"/>
        <v>0</v>
      </c>
      <c r="P62" s="392"/>
      <c r="Q62" s="392"/>
      <c r="R62" s="393"/>
      <c r="S62" s="392"/>
      <c r="T62" s="392"/>
      <c r="U62" s="393"/>
      <c r="V62" s="392"/>
      <c r="W62" s="392"/>
      <c r="X62" s="393"/>
      <c r="Y62" s="392"/>
      <c r="Z62" s="392"/>
      <c r="AA62" s="393"/>
      <c r="AB62" s="392"/>
      <c r="AC62" s="392"/>
      <c r="AD62" s="393"/>
      <c r="AE62" s="392"/>
      <c r="AF62" s="392"/>
      <c r="AG62" s="393"/>
      <c r="AH62" s="392"/>
      <c r="AI62" s="392"/>
      <c r="AJ62" s="393"/>
      <c r="AK62" s="392"/>
      <c r="AL62" s="392"/>
      <c r="AM62" s="393"/>
      <c r="AN62" s="392"/>
      <c r="AO62" s="392"/>
      <c r="AP62" s="393"/>
      <c r="AQ62" s="392"/>
      <c r="AR62" s="392"/>
      <c r="AS62" s="393"/>
      <c r="AT62" s="392"/>
      <c r="AU62" s="392"/>
      <c r="AV62" s="393"/>
      <c r="AW62" s="420"/>
    </row>
    <row r="63" spans="1:49" s="421" customFormat="1" x14ac:dyDescent="0.25">
      <c r="A63" s="688"/>
      <c r="B63" s="691"/>
      <c r="C63" s="387" t="s">
        <v>32</v>
      </c>
      <c r="D63" s="388">
        <f t="shared" si="18"/>
        <v>0</v>
      </c>
      <c r="E63" s="389">
        <f t="shared" si="18"/>
        <v>0</v>
      </c>
      <c r="F63" s="390">
        <f t="shared" si="19"/>
        <v>0</v>
      </c>
      <c r="G63" s="392"/>
      <c r="H63" s="392"/>
      <c r="I63" s="393">
        <f t="shared" si="20"/>
        <v>0</v>
      </c>
      <c r="J63" s="392"/>
      <c r="K63" s="392"/>
      <c r="L63" s="393">
        <f t="shared" si="21"/>
        <v>0</v>
      </c>
      <c r="M63" s="392"/>
      <c r="N63" s="392"/>
      <c r="O63" s="393">
        <f t="shared" si="22"/>
        <v>0</v>
      </c>
      <c r="P63" s="392"/>
      <c r="Q63" s="392"/>
      <c r="R63" s="393"/>
      <c r="S63" s="392"/>
      <c r="T63" s="392"/>
      <c r="U63" s="393"/>
      <c r="V63" s="392"/>
      <c r="W63" s="392"/>
      <c r="X63" s="393"/>
      <c r="Y63" s="392"/>
      <c r="Z63" s="392"/>
      <c r="AA63" s="393"/>
      <c r="AB63" s="392"/>
      <c r="AC63" s="392"/>
      <c r="AD63" s="393"/>
      <c r="AE63" s="392"/>
      <c r="AF63" s="392"/>
      <c r="AG63" s="393"/>
      <c r="AH63" s="392"/>
      <c r="AI63" s="392"/>
      <c r="AJ63" s="393"/>
      <c r="AK63" s="392"/>
      <c r="AL63" s="392"/>
      <c r="AM63" s="393"/>
      <c r="AN63" s="392"/>
      <c r="AO63" s="392"/>
      <c r="AP63" s="393"/>
      <c r="AQ63" s="392"/>
      <c r="AR63" s="392"/>
      <c r="AS63" s="393"/>
      <c r="AT63" s="392"/>
      <c r="AU63" s="392"/>
      <c r="AV63" s="393"/>
      <c r="AW63" s="420"/>
    </row>
    <row r="64" spans="1:49" s="421" customFormat="1" x14ac:dyDescent="0.25">
      <c r="A64" s="688"/>
      <c r="B64" s="691"/>
      <c r="C64" s="387" t="s">
        <v>33</v>
      </c>
      <c r="D64" s="388">
        <f t="shared" si="18"/>
        <v>0</v>
      </c>
      <c r="E64" s="389">
        <f t="shared" si="18"/>
        <v>0</v>
      </c>
      <c r="F64" s="390">
        <f t="shared" si="19"/>
        <v>0</v>
      </c>
      <c r="G64" s="392"/>
      <c r="H64" s="392"/>
      <c r="I64" s="393">
        <f t="shared" si="20"/>
        <v>0</v>
      </c>
      <c r="J64" s="392"/>
      <c r="K64" s="392"/>
      <c r="L64" s="393">
        <f t="shared" si="21"/>
        <v>0</v>
      </c>
      <c r="M64" s="392"/>
      <c r="N64" s="392"/>
      <c r="O64" s="393">
        <f t="shared" si="22"/>
        <v>0</v>
      </c>
      <c r="P64" s="392"/>
      <c r="Q64" s="392"/>
      <c r="R64" s="393"/>
      <c r="S64" s="392"/>
      <c r="T64" s="392"/>
      <c r="U64" s="393"/>
      <c r="V64" s="392"/>
      <c r="W64" s="392"/>
      <c r="X64" s="393"/>
      <c r="Y64" s="392"/>
      <c r="Z64" s="392"/>
      <c r="AA64" s="393"/>
      <c r="AB64" s="392"/>
      <c r="AC64" s="392"/>
      <c r="AD64" s="393"/>
      <c r="AE64" s="392"/>
      <c r="AF64" s="392"/>
      <c r="AG64" s="393"/>
      <c r="AH64" s="392"/>
      <c r="AI64" s="392"/>
      <c r="AJ64" s="393"/>
      <c r="AK64" s="392"/>
      <c r="AL64" s="392"/>
      <c r="AM64" s="393"/>
      <c r="AN64" s="392"/>
      <c r="AO64" s="392"/>
      <c r="AP64" s="393"/>
      <c r="AQ64" s="392"/>
      <c r="AR64" s="392"/>
      <c r="AS64" s="393"/>
      <c r="AT64" s="392"/>
      <c r="AU64" s="392"/>
      <c r="AV64" s="393"/>
      <c r="AW64" s="420"/>
    </row>
    <row r="65" spans="1:49" s="423" customFormat="1" ht="15.75" thickBot="1" x14ac:dyDescent="0.3">
      <c r="A65" s="689"/>
      <c r="B65" s="692"/>
      <c r="C65" s="394" t="s">
        <v>34</v>
      </c>
      <c r="D65" s="395">
        <f t="shared" si="18"/>
        <v>0</v>
      </c>
      <c r="E65" s="396">
        <f t="shared" si="18"/>
        <v>0</v>
      </c>
      <c r="F65" s="397">
        <f t="shared" si="19"/>
        <v>0</v>
      </c>
      <c r="G65" s="398"/>
      <c r="H65" s="398"/>
      <c r="I65" s="399">
        <f t="shared" si="20"/>
        <v>0</v>
      </c>
      <c r="J65" s="398"/>
      <c r="K65" s="398"/>
      <c r="L65" s="399">
        <f t="shared" si="21"/>
        <v>0</v>
      </c>
      <c r="M65" s="398"/>
      <c r="N65" s="398"/>
      <c r="O65" s="399">
        <f t="shared" si="22"/>
        <v>0</v>
      </c>
      <c r="P65" s="398"/>
      <c r="Q65" s="398"/>
      <c r="R65" s="399"/>
      <c r="S65" s="398"/>
      <c r="T65" s="398"/>
      <c r="U65" s="399"/>
      <c r="V65" s="398"/>
      <c r="W65" s="398"/>
      <c r="X65" s="399"/>
      <c r="Y65" s="398"/>
      <c r="Z65" s="398"/>
      <c r="AA65" s="399"/>
      <c r="AB65" s="398"/>
      <c r="AC65" s="398"/>
      <c r="AD65" s="399"/>
      <c r="AE65" s="398"/>
      <c r="AF65" s="398"/>
      <c r="AG65" s="399"/>
      <c r="AH65" s="398"/>
      <c r="AI65" s="398"/>
      <c r="AJ65" s="399"/>
      <c r="AK65" s="398"/>
      <c r="AL65" s="398"/>
      <c r="AM65" s="399"/>
      <c r="AN65" s="398"/>
      <c r="AO65" s="398"/>
      <c r="AP65" s="399"/>
      <c r="AQ65" s="398"/>
      <c r="AR65" s="398"/>
      <c r="AS65" s="399"/>
      <c r="AT65" s="398"/>
      <c r="AU65" s="398"/>
      <c r="AV65" s="399"/>
      <c r="AW65" s="422"/>
    </row>
    <row r="66" spans="1:49" s="421" customFormat="1" ht="15.75" thickBot="1" x14ac:dyDescent="0.3">
      <c r="A66" s="424"/>
      <c r="B66" s="425"/>
      <c r="C66" s="426"/>
      <c r="D66" s="425"/>
      <c r="E66" s="425"/>
      <c r="F66" s="427" t="s">
        <v>105</v>
      </c>
      <c r="G66" s="428"/>
      <c r="H66" s="428"/>
      <c r="I66" s="429"/>
      <c r="J66" s="428"/>
      <c r="K66" s="428"/>
      <c r="L66" s="429"/>
      <c r="M66" s="428"/>
      <c r="N66" s="428"/>
      <c r="O66" s="429"/>
      <c r="P66" s="428"/>
      <c r="Q66" s="428"/>
      <c r="R66" s="429"/>
      <c r="S66" s="428"/>
      <c r="T66" s="428"/>
      <c r="U66" s="429"/>
      <c r="V66" s="428"/>
      <c r="W66" s="428"/>
      <c r="X66" s="429"/>
      <c r="Y66" s="428"/>
      <c r="Z66" s="428"/>
      <c r="AA66" s="429"/>
      <c r="AB66" s="428"/>
      <c r="AC66" s="428"/>
      <c r="AD66" s="429"/>
      <c r="AE66" s="428"/>
      <c r="AF66" s="428"/>
      <c r="AG66" s="429"/>
      <c r="AH66" s="428"/>
      <c r="AI66" s="428"/>
      <c r="AJ66" s="429"/>
      <c r="AK66" s="428"/>
      <c r="AL66" s="428"/>
      <c r="AM66" s="429"/>
      <c r="AN66" s="428"/>
      <c r="AO66" s="428"/>
      <c r="AP66" s="429"/>
      <c r="AQ66" s="428"/>
      <c r="AR66" s="428"/>
      <c r="AS66" s="429"/>
      <c r="AT66" s="428"/>
      <c r="AU66" s="428"/>
      <c r="AV66" s="429"/>
      <c r="AW66" s="420"/>
    </row>
    <row r="67" spans="1:49" s="421" customFormat="1" x14ac:dyDescent="0.25">
      <c r="A67" s="681" t="s">
        <v>318</v>
      </c>
      <c r="B67" s="683" t="s">
        <v>37</v>
      </c>
      <c r="C67" s="430" t="s">
        <v>25</v>
      </c>
      <c r="D67" s="431">
        <f t="shared" ref="D67:D76" si="23">G67+J67+M67+P67+S67+V67+Y67+AB67+AE67+AH67+AK67+AN67+AQ67+AT67</f>
        <v>27715</v>
      </c>
      <c r="E67" s="432">
        <f t="shared" ref="E67:E82" si="24">H67+K67+N67+Q67+T67+W67+Z67+AC67+AF67+AI67+AL67+AO67+AR67+AU67</f>
        <v>27715</v>
      </c>
      <c r="F67" s="433">
        <f t="shared" ref="F67:F130" si="25">I67+L67+O67+R67+U67+X67+AA67+AD67+AG67+AJ67+AM67+AP67+AS67+AV67</f>
        <v>0</v>
      </c>
      <c r="G67" s="434">
        <f t="shared" ref="G67:G76" si="26">G6</f>
        <v>18452</v>
      </c>
      <c r="H67" s="434">
        <f t="shared" ref="H67:H76" si="27">H6*(1+$AW$67)</f>
        <v>18452</v>
      </c>
      <c r="I67" s="435">
        <f t="shared" ref="I67:I76" si="28">H67-G67</f>
        <v>0</v>
      </c>
      <c r="J67" s="434">
        <f t="shared" ref="J67:J76" si="29">J6</f>
        <v>8256</v>
      </c>
      <c r="K67" s="434">
        <f t="shared" ref="K67:K76" si="30">K6*(1+$AW$67)</f>
        <v>8256</v>
      </c>
      <c r="L67" s="435">
        <f t="shared" ref="L67:L76" si="31">K67-J67</f>
        <v>0</v>
      </c>
      <c r="M67" s="434">
        <f t="shared" ref="M67:M76" si="32">M6</f>
        <v>1007</v>
      </c>
      <c r="N67" s="434">
        <f t="shared" ref="N67:N76" si="33">N6*(1+$AW$67)</f>
        <v>1007</v>
      </c>
      <c r="O67" s="435">
        <f t="shared" ref="O67:O76" si="34">N67-M67</f>
        <v>0</v>
      </c>
      <c r="P67" s="434"/>
      <c r="Q67" s="434"/>
      <c r="R67" s="435"/>
      <c r="S67" s="434"/>
      <c r="T67" s="434"/>
      <c r="U67" s="435"/>
      <c r="V67" s="434"/>
      <c r="W67" s="434"/>
      <c r="X67" s="435"/>
      <c r="Y67" s="434"/>
      <c r="Z67" s="434"/>
      <c r="AA67" s="435"/>
      <c r="AB67" s="434"/>
      <c r="AC67" s="434"/>
      <c r="AD67" s="435"/>
      <c r="AE67" s="434"/>
      <c r="AF67" s="434"/>
      <c r="AG67" s="435"/>
      <c r="AH67" s="434"/>
      <c r="AI67" s="434"/>
      <c r="AJ67" s="435"/>
      <c r="AK67" s="434"/>
      <c r="AL67" s="434"/>
      <c r="AM67" s="435"/>
      <c r="AN67" s="434"/>
      <c r="AO67" s="434"/>
      <c r="AP67" s="435"/>
      <c r="AQ67" s="434"/>
      <c r="AR67" s="434"/>
      <c r="AS67" s="435"/>
      <c r="AT67" s="434"/>
      <c r="AU67" s="434"/>
      <c r="AV67" s="435"/>
      <c r="AW67" s="436">
        <f>'Analyza citlivosti - AgendovéIS'!K7</f>
        <v>0</v>
      </c>
    </row>
    <row r="68" spans="1:49" s="421" customFormat="1" x14ac:dyDescent="0.25">
      <c r="A68" s="681"/>
      <c r="B68" s="683"/>
      <c r="C68" s="430" t="s">
        <v>26</v>
      </c>
      <c r="D68" s="431">
        <f t="shared" si="23"/>
        <v>27735.14</v>
      </c>
      <c r="E68" s="432">
        <f t="shared" si="24"/>
        <v>27735.14</v>
      </c>
      <c r="F68" s="433">
        <f t="shared" si="25"/>
        <v>0</v>
      </c>
      <c r="G68" s="437">
        <f t="shared" si="26"/>
        <v>18452</v>
      </c>
      <c r="H68" s="437">
        <f t="shared" si="27"/>
        <v>18452</v>
      </c>
      <c r="I68" s="393">
        <f t="shared" si="28"/>
        <v>0</v>
      </c>
      <c r="J68" s="437">
        <f t="shared" si="29"/>
        <v>8256</v>
      </c>
      <c r="K68" s="437">
        <f t="shared" si="30"/>
        <v>8256</v>
      </c>
      <c r="L68" s="393">
        <f t="shared" si="31"/>
        <v>0</v>
      </c>
      <c r="M68" s="437">
        <f t="shared" si="32"/>
        <v>1027.1400000000001</v>
      </c>
      <c r="N68" s="437">
        <f t="shared" si="33"/>
        <v>1027.1400000000001</v>
      </c>
      <c r="O68" s="393">
        <f t="shared" si="34"/>
        <v>0</v>
      </c>
      <c r="P68" s="437"/>
      <c r="Q68" s="437"/>
      <c r="R68" s="393"/>
      <c r="S68" s="437"/>
      <c r="T68" s="437"/>
      <c r="U68" s="393"/>
      <c r="V68" s="437"/>
      <c r="W68" s="437"/>
      <c r="X68" s="393"/>
      <c r="Y68" s="437"/>
      <c r="Z68" s="437"/>
      <c r="AA68" s="393"/>
      <c r="AB68" s="437"/>
      <c r="AC68" s="437"/>
      <c r="AD68" s="393"/>
      <c r="AE68" s="437"/>
      <c r="AF68" s="437"/>
      <c r="AG68" s="393"/>
      <c r="AH68" s="437"/>
      <c r="AI68" s="437"/>
      <c r="AJ68" s="393"/>
      <c r="AK68" s="437"/>
      <c r="AL68" s="437"/>
      <c r="AM68" s="393"/>
      <c r="AN68" s="437"/>
      <c r="AO68" s="437"/>
      <c r="AP68" s="393"/>
      <c r="AQ68" s="437"/>
      <c r="AR68" s="437"/>
      <c r="AS68" s="393"/>
      <c r="AT68" s="437"/>
      <c r="AU68" s="437"/>
      <c r="AV68" s="393"/>
      <c r="AW68" s="420"/>
    </row>
    <row r="69" spans="1:49" s="421" customFormat="1" x14ac:dyDescent="0.25">
      <c r="A69" s="681"/>
      <c r="B69" s="683"/>
      <c r="C69" s="430" t="s">
        <v>27</v>
      </c>
      <c r="D69" s="431">
        <f t="shared" si="23"/>
        <v>27755.682799999999</v>
      </c>
      <c r="E69" s="432">
        <f t="shared" si="24"/>
        <v>27755.682799999999</v>
      </c>
      <c r="F69" s="433">
        <f t="shared" si="25"/>
        <v>0</v>
      </c>
      <c r="G69" s="437">
        <f t="shared" si="26"/>
        <v>18452</v>
      </c>
      <c r="H69" s="437">
        <f t="shared" si="27"/>
        <v>18452</v>
      </c>
      <c r="I69" s="393">
        <f t="shared" si="28"/>
        <v>0</v>
      </c>
      <c r="J69" s="437">
        <f t="shared" si="29"/>
        <v>8256</v>
      </c>
      <c r="K69" s="437">
        <f t="shared" si="30"/>
        <v>8256</v>
      </c>
      <c r="L69" s="393">
        <f t="shared" si="31"/>
        <v>0</v>
      </c>
      <c r="M69" s="437">
        <f t="shared" si="32"/>
        <v>1047.6828</v>
      </c>
      <c r="N69" s="437">
        <f t="shared" si="33"/>
        <v>1047.6828</v>
      </c>
      <c r="O69" s="393">
        <f t="shared" si="34"/>
        <v>0</v>
      </c>
      <c r="P69" s="437"/>
      <c r="Q69" s="437"/>
      <c r="R69" s="393"/>
      <c r="S69" s="437"/>
      <c r="T69" s="437"/>
      <c r="U69" s="393"/>
      <c r="V69" s="437"/>
      <c r="W69" s="437"/>
      <c r="X69" s="393"/>
      <c r="Y69" s="437"/>
      <c r="Z69" s="437"/>
      <c r="AA69" s="393"/>
      <c r="AB69" s="437"/>
      <c r="AC69" s="437"/>
      <c r="AD69" s="393"/>
      <c r="AE69" s="437"/>
      <c r="AF69" s="437"/>
      <c r="AG69" s="393"/>
      <c r="AH69" s="437"/>
      <c r="AI69" s="437"/>
      <c r="AJ69" s="393"/>
      <c r="AK69" s="437"/>
      <c r="AL69" s="437"/>
      <c r="AM69" s="393"/>
      <c r="AN69" s="437"/>
      <c r="AO69" s="437"/>
      <c r="AP69" s="393"/>
      <c r="AQ69" s="437"/>
      <c r="AR69" s="437"/>
      <c r="AS69" s="393"/>
      <c r="AT69" s="437"/>
      <c r="AU69" s="437"/>
      <c r="AV69" s="393"/>
      <c r="AW69" s="420"/>
    </row>
    <row r="70" spans="1:49" s="421" customFormat="1" x14ac:dyDescent="0.25">
      <c r="A70" s="681"/>
      <c r="B70" s="683"/>
      <c r="C70" s="430" t="s">
        <v>28</v>
      </c>
      <c r="D70" s="431">
        <f t="shared" si="23"/>
        <v>0</v>
      </c>
      <c r="E70" s="432">
        <f t="shared" si="24"/>
        <v>0</v>
      </c>
      <c r="F70" s="433">
        <f t="shared" si="25"/>
        <v>0</v>
      </c>
      <c r="G70" s="437">
        <f t="shared" si="26"/>
        <v>0</v>
      </c>
      <c r="H70" s="437">
        <f t="shared" si="27"/>
        <v>0</v>
      </c>
      <c r="I70" s="393">
        <f t="shared" si="28"/>
        <v>0</v>
      </c>
      <c r="J70" s="437">
        <f t="shared" si="29"/>
        <v>0</v>
      </c>
      <c r="K70" s="437">
        <f t="shared" si="30"/>
        <v>0</v>
      </c>
      <c r="L70" s="393">
        <f t="shared" si="31"/>
        <v>0</v>
      </c>
      <c r="M70" s="437">
        <f t="shared" si="32"/>
        <v>0</v>
      </c>
      <c r="N70" s="437">
        <f t="shared" si="33"/>
        <v>0</v>
      </c>
      <c r="O70" s="393">
        <f t="shared" si="34"/>
        <v>0</v>
      </c>
      <c r="P70" s="437"/>
      <c r="Q70" s="437"/>
      <c r="R70" s="393"/>
      <c r="S70" s="437"/>
      <c r="T70" s="437"/>
      <c r="U70" s="393"/>
      <c r="V70" s="437"/>
      <c r="W70" s="437"/>
      <c r="X70" s="393"/>
      <c r="Y70" s="437"/>
      <c r="Z70" s="437"/>
      <c r="AA70" s="393"/>
      <c r="AB70" s="437"/>
      <c r="AC70" s="437"/>
      <c r="AD70" s="393"/>
      <c r="AE70" s="437"/>
      <c r="AF70" s="437"/>
      <c r="AG70" s="393"/>
      <c r="AH70" s="437"/>
      <c r="AI70" s="437"/>
      <c r="AJ70" s="393"/>
      <c r="AK70" s="437"/>
      <c r="AL70" s="437"/>
      <c r="AM70" s="393"/>
      <c r="AN70" s="437"/>
      <c r="AO70" s="437"/>
      <c r="AP70" s="393"/>
      <c r="AQ70" s="437"/>
      <c r="AR70" s="437"/>
      <c r="AS70" s="393"/>
      <c r="AT70" s="437"/>
      <c r="AU70" s="437"/>
      <c r="AV70" s="393"/>
      <c r="AW70" s="420"/>
    </row>
    <row r="71" spans="1:49" s="421" customFormat="1" x14ac:dyDescent="0.25">
      <c r="A71" s="681"/>
      <c r="B71" s="683"/>
      <c r="C71" s="430" t="s">
        <v>29</v>
      </c>
      <c r="D71" s="431">
        <f t="shared" si="23"/>
        <v>0</v>
      </c>
      <c r="E71" s="432">
        <f t="shared" si="24"/>
        <v>0</v>
      </c>
      <c r="F71" s="433">
        <f t="shared" si="25"/>
        <v>0</v>
      </c>
      <c r="G71" s="437">
        <f t="shared" si="26"/>
        <v>0</v>
      </c>
      <c r="H71" s="437">
        <f t="shared" si="27"/>
        <v>0</v>
      </c>
      <c r="I71" s="393">
        <f t="shared" si="28"/>
        <v>0</v>
      </c>
      <c r="J71" s="437">
        <f t="shared" si="29"/>
        <v>0</v>
      </c>
      <c r="K71" s="437">
        <f t="shared" si="30"/>
        <v>0</v>
      </c>
      <c r="L71" s="393">
        <f t="shared" si="31"/>
        <v>0</v>
      </c>
      <c r="M71" s="437">
        <f t="shared" si="32"/>
        <v>0</v>
      </c>
      <c r="N71" s="437">
        <f t="shared" si="33"/>
        <v>0</v>
      </c>
      <c r="O71" s="393">
        <f t="shared" si="34"/>
        <v>0</v>
      </c>
      <c r="P71" s="437"/>
      <c r="Q71" s="437"/>
      <c r="R71" s="393"/>
      <c r="S71" s="437"/>
      <c r="T71" s="437"/>
      <c r="U71" s="393"/>
      <c r="V71" s="437"/>
      <c r="W71" s="437"/>
      <c r="X71" s="393"/>
      <c r="Y71" s="437"/>
      <c r="Z71" s="437"/>
      <c r="AA71" s="393"/>
      <c r="AB71" s="437"/>
      <c r="AC71" s="437"/>
      <c r="AD71" s="393"/>
      <c r="AE71" s="437"/>
      <c r="AF71" s="437"/>
      <c r="AG71" s="393"/>
      <c r="AH71" s="437"/>
      <c r="AI71" s="437"/>
      <c r="AJ71" s="393"/>
      <c r="AK71" s="437"/>
      <c r="AL71" s="437"/>
      <c r="AM71" s="393"/>
      <c r="AN71" s="437"/>
      <c r="AO71" s="437"/>
      <c r="AP71" s="393"/>
      <c r="AQ71" s="437"/>
      <c r="AR71" s="437"/>
      <c r="AS71" s="393"/>
      <c r="AT71" s="437"/>
      <c r="AU71" s="437"/>
      <c r="AV71" s="393"/>
      <c r="AW71" s="420"/>
    </row>
    <row r="72" spans="1:49" s="421" customFormat="1" x14ac:dyDescent="0.25">
      <c r="A72" s="681"/>
      <c r="B72" s="683"/>
      <c r="C72" s="430" t="s">
        <v>30</v>
      </c>
      <c r="D72" s="431">
        <f t="shared" si="23"/>
        <v>0</v>
      </c>
      <c r="E72" s="432">
        <f t="shared" si="24"/>
        <v>0</v>
      </c>
      <c r="F72" s="433">
        <f t="shared" si="25"/>
        <v>0</v>
      </c>
      <c r="G72" s="437">
        <f t="shared" si="26"/>
        <v>0</v>
      </c>
      <c r="H72" s="437">
        <f t="shared" si="27"/>
        <v>0</v>
      </c>
      <c r="I72" s="393">
        <f t="shared" si="28"/>
        <v>0</v>
      </c>
      <c r="J72" s="437">
        <f t="shared" si="29"/>
        <v>0</v>
      </c>
      <c r="K72" s="437">
        <f t="shared" si="30"/>
        <v>0</v>
      </c>
      <c r="L72" s="393">
        <f t="shared" si="31"/>
        <v>0</v>
      </c>
      <c r="M72" s="437">
        <f t="shared" si="32"/>
        <v>0</v>
      </c>
      <c r="N72" s="437">
        <f t="shared" si="33"/>
        <v>0</v>
      </c>
      <c r="O72" s="393">
        <f t="shared" si="34"/>
        <v>0</v>
      </c>
      <c r="P72" s="437"/>
      <c r="Q72" s="437"/>
      <c r="R72" s="393"/>
      <c r="S72" s="437"/>
      <c r="T72" s="437"/>
      <c r="U72" s="393"/>
      <c r="V72" s="437"/>
      <c r="W72" s="437"/>
      <c r="X72" s="393"/>
      <c r="Y72" s="437"/>
      <c r="Z72" s="437"/>
      <c r="AA72" s="393"/>
      <c r="AB72" s="437"/>
      <c r="AC72" s="437"/>
      <c r="AD72" s="393"/>
      <c r="AE72" s="437"/>
      <c r="AF72" s="437"/>
      <c r="AG72" s="393"/>
      <c r="AH72" s="437"/>
      <c r="AI72" s="437"/>
      <c r="AJ72" s="393"/>
      <c r="AK72" s="437"/>
      <c r="AL72" s="437"/>
      <c r="AM72" s="393"/>
      <c r="AN72" s="437"/>
      <c r="AO72" s="437"/>
      <c r="AP72" s="393"/>
      <c r="AQ72" s="437"/>
      <c r="AR72" s="437"/>
      <c r="AS72" s="393"/>
      <c r="AT72" s="437"/>
      <c r="AU72" s="437"/>
      <c r="AV72" s="393"/>
      <c r="AW72" s="420"/>
    </row>
    <row r="73" spans="1:49" s="421" customFormat="1" x14ac:dyDescent="0.25">
      <c r="A73" s="681"/>
      <c r="B73" s="683"/>
      <c r="C73" s="430" t="s">
        <v>31</v>
      </c>
      <c r="D73" s="431">
        <f t="shared" si="23"/>
        <v>0</v>
      </c>
      <c r="E73" s="432">
        <f t="shared" si="24"/>
        <v>0</v>
      </c>
      <c r="F73" s="433">
        <f t="shared" si="25"/>
        <v>0</v>
      </c>
      <c r="G73" s="437">
        <f t="shared" si="26"/>
        <v>0</v>
      </c>
      <c r="H73" s="437">
        <f t="shared" si="27"/>
        <v>0</v>
      </c>
      <c r="I73" s="393">
        <f t="shared" si="28"/>
        <v>0</v>
      </c>
      <c r="J73" s="437">
        <f t="shared" si="29"/>
        <v>0</v>
      </c>
      <c r="K73" s="437">
        <f t="shared" si="30"/>
        <v>0</v>
      </c>
      <c r="L73" s="393">
        <f t="shared" si="31"/>
        <v>0</v>
      </c>
      <c r="M73" s="437">
        <f t="shared" si="32"/>
        <v>0</v>
      </c>
      <c r="N73" s="437">
        <f t="shared" si="33"/>
        <v>0</v>
      </c>
      <c r="O73" s="393">
        <f t="shared" si="34"/>
        <v>0</v>
      </c>
      <c r="P73" s="437"/>
      <c r="Q73" s="437"/>
      <c r="R73" s="393"/>
      <c r="S73" s="437"/>
      <c r="T73" s="437"/>
      <c r="U73" s="393"/>
      <c r="V73" s="437"/>
      <c r="W73" s="437"/>
      <c r="X73" s="393"/>
      <c r="Y73" s="437"/>
      <c r="Z73" s="437"/>
      <c r="AA73" s="393"/>
      <c r="AB73" s="437"/>
      <c r="AC73" s="437"/>
      <c r="AD73" s="393"/>
      <c r="AE73" s="437"/>
      <c r="AF73" s="437"/>
      <c r="AG73" s="393"/>
      <c r="AH73" s="437"/>
      <c r="AI73" s="437"/>
      <c r="AJ73" s="393"/>
      <c r="AK73" s="437"/>
      <c r="AL73" s="437"/>
      <c r="AM73" s="393"/>
      <c r="AN73" s="437"/>
      <c r="AO73" s="437"/>
      <c r="AP73" s="393"/>
      <c r="AQ73" s="437"/>
      <c r="AR73" s="437"/>
      <c r="AS73" s="393"/>
      <c r="AT73" s="437"/>
      <c r="AU73" s="437"/>
      <c r="AV73" s="393"/>
      <c r="AW73" s="420"/>
    </row>
    <row r="74" spans="1:49" s="421" customFormat="1" x14ac:dyDescent="0.25">
      <c r="A74" s="681"/>
      <c r="B74" s="683"/>
      <c r="C74" s="430" t="s">
        <v>32</v>
      </c>
      <c r="D74" s="431">
        <f t="shared" si="23"/>
        <v>0</v>
      </c>
      <c r="E74" s="432">
        <f t="shared" si="24"/>
        <v>0</v>
      </c>
      <c r="F74" s="433">
        <f t="shared" si="25"/>
        <v>0</v>
      </c>
      <c r="G74" s="437">
        <f t="shared" si="26"/>
        <v>0</v>
      </c>
      <c r="H74" s="437">
        <f t="shared" si="27"/>
        <v>0</v>
      </c>
      <c r="I74" s="393">
        <f t="shared" si="28"/>
        <v>0</v>
      </c>
      <c r="J74" s="437">
        <f t="shared" si="29"/>
        <v>0</v>
      </c>
      <c r="K74" s="437">
        <f t="shared" si="30"/>
        <v>0</v>
      </c>
      <c r="L74" s="393">
        <f t="shared" si="31"/>
        <v>0</v>
      </c>
      <c r="M74" s="437">
        <f t="shared" si="32"/>
        <v>0</v>
      </c>
      <c r="N74" s="437">
        <f t="shared" si="33"/>
        <v>0</v>
      </c>
      <c r="O74" s="393">
        <f t="shared" si="34"/>
        <v>0</v>
      </c>
      <c r="P74" s="437"/>
      <c r="Q74" s="437"/>
      <c r="R74" s="393"/>
      <c r="S74" s="437"/>
      <c r="T74" s="437"/>
      <c r="U74" s="393"/>
      <c r="V74" s="437"/>
      <c r="W74" s="437"/>
      <c r="X74" s="393"/>
      <c r="Y74" s="437"/>
      <c r="Z74" s="437"/>
      <c r="AA74" s="393"/>
      <c r="AB74" s="437"/>
      <c r="AC74" s="437"/>
      <c r="AD74" s="393"/>
      <c r="AE74" s="437"/>
      <c r="AF74" s="437"/>
      <c r="AG74" s="393"/>
      <c r="AH74" s="437"/>
      <c r="AI74" s="437"/>
      <c r="AJ74" s="393"/>
      <c r="AK74" s="437"/>
      <c r="AL74" s="437"/>
      <c r="AM74" s="393"/>
      <c r="AN74" s="437"/>
      <c r="AO74" s="437"/>
      <c r="AP74" s="393"/>
      <c r="AQ74" s="437"/>
      <c r="AR74" s="437"/>
      <c r="AS74" s="393"/>
      <c r="AT74" s="437"/>
      <c r="AU74" s="437"/>
      <c r="AV74" s="393"/>
      <c r="AW74" s="420"/>
    </row>
    <row r="75" spans="1:49" s="421" customFormat="1" x14ac:dyDescent="0.25">
      <c r="A75" s="681"/>
      <c r="B75" s="683"/>
      <c r="C75" s="430" t="s">
        <v>33</v>
      </c>
      <c r="D75" s="431">
        <f t="shared" si="23"/>
        <v>0</v>
      </c>
      <c r="E75" s="432">
        <f t="shared" si="24"/>
        <v>0</v>
      </c>
      <c r="F75" s="433">
        <f t="shared" si="25"/>
        <v>0</v>
      </c>
      <c r="G75" s="437">
        <f t="shared" si="26"/>
        <v>0</v>
      </c>
      <c r="H75" s="437">
        <f t="shared" si="27"/>
        <v>0</v>
      </c>
      <c r="I75" s="393">
        <f t="shared" si="28"/>
        <v>0</v>
      </c>
      <c r="J75" s="437">
        <f t="shared" si="29"/>
        <v>0</v>
      </c>
      <c r="K75" s="437">
        <f t="shared" si="30"/>
        <v>0</v>
      </c>
      <c r="L75" s="393">
        <f t="shared" si="31"/>
        <v>0</v>
      </c>
      <c r="M75" s="437">
        <f t="shared" si="32"/>
        <v>0</v>
      </c>
      <c r="N75" s="437">
        <f t="shared" si="33"/>
        <v>0</v>
      </c>
      <c r="O75" s="393">
        <f t="shared" si="34"/>
        <v>0</v>
      </c>
      <c r="P75" s="437"/>
      <c r="Q75" s="437"/>
      <c r="R75" s="393"/>
      <c r="S75" s="437"/>
      <c r="T75" s="437"/>
      <c r="U75" s="393"/>
      <c r="V75" s="437"/>
      <c r="W75" s="437"/>
      <c r="X75" s="393"/>
      <c r="Y75" s="437"/>
      <c r="Z75" s="437"/>
      <c r="AA75" s="393"/>
      <c r="AB75" s="437"/>
      <c r="AC75" s="437"/>
      <c r="AD75" s="393"/>
      <c r="AE75" s="437"/>
      <c r="AF75" s="437"/>
      <c r="AG75" s="393"/>
      <c r="AH75" s="437"/>
      <c r="AI75" s="437"/>
      <c r="AJ75" s="393"/>
      <c r="AK75" s="437"/>
      <c r="AL75" s="437"/>
      <c r="AM75" s="393"/>
      <c r="AN75" s="437"/>
      <c r="AO75" s="437"/>
      <c r="AP75" s="393"/>
      <c r="AQ75" s="437"/>
      <c r="AR75" s="437"/>
      <c r="AS75" s="393"/>
      <c r="AT75" s="437"/>
      <c r="AU75" s="437"/>
      <c r="AV75" s="393"/>
      <c r="AW75" s="420"/>
    </row>
    <row r="76" spans="1:49" s="421" customFormat="1" ht="15.75" thickBot="1" x14ac:dyDescent="0.3">
      <c r="A76" s="682"/>
      <c r="B76" s="684"/>
      <c r="C76" s="438" t="s">
        <v>34</v>
      </c>
      <c r="D76" s="439">
        <f t="shared" si="23"/>
        <v>0</v>
      </c>
      <c r="E76" s="440">
        <f t="shared" si="24"/>
        <v>0</v>
      </c>
      <c r="F76" s="441">
        <f t="shared" si="25"/>
        <v>0</v>
      </c>
      <c r="G76" s="442">
        <f t="shared" si="26"/>
        <v>0</v>
      </c>
      <c r="H76" s="442">
        <f t="shared" si="27"/>
        <v>0</v>
      </c>
      <c r="I76" s="399">
        <f t="shared" si="28"/>
        <v>0</v>
      </c>
      <c r="J76" s="442">
        <f t="shared" si="29"/>
        <v>0</v>
      </c>
      <c r="K76" s="442">
        <f t="shared" si="30"/>
        <v>0</v>
      </c>
      <c r="L76" s="399">
        <f t="shared" si="31"/>
        <v>0</v>
      </c>
      <c r="M76" s="442">
        <f t="shared" si="32"/>
        <v>0</v>
      </c>
      <c r="N76" s="442">
        <f t="shared" si="33"/>
        <v>0</v>
      </c>
      <c r="O76" s="399">
        <f t="shared" si="34"/>
        <v>0</v>
      </c>
      <c r="P76" s="442"/>
      <c r="Q76" s="442"/>
      <c r="R76" s="399"/>
      <c r="S76" s="442"/>
      <c r="T76" s="442"/>
      <c r="U76" s="399"/>
      <c r="V76" s="442"/>
      <c r="W76" s="442"/>
      <c r="X76" s="399"/>
      <c r="Y76" s="442"/>
      <c r="Z76" s="442"/>
      <c r="AA76" s="399"/>
      <c r="AB76" s="442"/>
      <c r="AC76" s="442"/>
      <c r="AD76" s="399"/>
      <c r="AE76" s="442"/>
      <c r="AF76" s="442"/>
      <c r="AG76" s="399"/>
      <c r="AH76" s="442"/>
      <c r="AI76" s="442"/>
      <c r="AJ76" s="399"/>
      <c r="AK76" s="442"/>
      <c r="AL76" s="442"/>
      <c r="AM76" s="399"/>
      <c r="AN76" s="442"/>
      <c r="AO76" s="442"/>
      <c r="AP76" s="399"/>
      <c r="AQ76" s="442"/>
      <c r="AR76" s="442"/>
      <c r="AS76" s="399"/>
      <c r="AT76" s="442"/>
      <c r="AU76" s="442"/>
      <c r="AV76" s="399"/>
      <c r="AW76" s="420"/>
    </row>
    <row r="77" spans="1:49" x14ac:dyDescent="0.25">
      <c r="A77" s="681" t="s">
        <v>190</v>
      </c>
      <c r="B77" s="683" t="s">
        <v>13</v>
      </c>
      <c r="C77" s="430" t="s">
        <v>25</v>
      </c>
      <c r="D77" s="431">
        <f t="shared" ref="D77:D136" si="35">G77+J77+M77+P77+S77+V77+Y77+AB77+AE77+AH77+AK77+AN77+AQ77+AT77</f>
        <v>3966288.6315647508</v>
      </c>
      <c r="E77" s="432">
        <f t="shared" si="24"/>
        <v>2074818.3116505747</v>
      </c>
      <c r="F77" s="433">
        <f t="shared" si="25"/>
        <v>-1891470.3199141761</v>
      </c>
      <c r="G77" s="443">
        <f>G6*G36*Faktory!$D$8</f>
        <v>2939667.3292750958</v>
      </c>
      <c r="H77" s="443">
        <f>((H67*G36)-(H67*((G36-H36)*(1+$AW$36))))*Faktory!$D$8</f>
        <v>1469833.6646375479</v>
      </c>
      <c r="I77" s="384">
        <f>H77-G77</f>
        <v>-1469833.6646375479</v>
      </c>
      <c r="J77" s="443">
        <f>J6*J36*Faktory!$D$8</f>
        <v>751599.3146850575</v>
      </c>
      <c r="K77" s="443">
        <f>((K67*J36)-(K67*((J36-K36)*(1+$AW$36))))*Faktory!$D$8</f>
        <v>375799.65734252875</v>
      </c>
      <c r="L77" s="384">
        <f>K77-J77</f>
        <v>-375799.65734252875</v>
      </c>
      <c r="M77" s="443">
        <f>M6*M36*Faktory!$D$8</f>
        <v>275021.9876045977</v>
      </c>
      <c r="N77" s="443">
        <f>((N67*M36)-(N67*((M36-N36)*(1+$AW$36))))*Faktory!$D$8</f>
        <v>229184.98967049809</v>
      </c>
      <c r="O77" s="384">
        <f>N77-M77</f>
        <v>-45836.997934099607</v>
      </c>
      <c r="P77" s="443"/>
      <c r="Q77" s="443"/>
      <c r="R77" s="384"/>
      <c r="S77" s="443"/>
      <c r="T77" s="443"/>
      <c r="U77" s="384"/>
      <c r="V77" s="443"/>
      <c r="W77" s="443"/>
      <c r="X77" s="384"/>
      <c r="Y77" s="443"/>
      <c r="Z77" s="443"/>
      <c r="AA77" s="384"/>
      <c r="AB77" s="443"/>
      <c r="AC77" s="443"/>
      <c r="AD77" s="384"/>
      <c r="AE77" s="443"/>
      <c r="AF77" s="443"/>
      <c r="AG77" s="384"/>
      <c r="AH77" s="443"/>
      <c r="AI77" s="443"/>
      <c r="AJ77" s="384"/>
      <c r="AK77" s="443"/>
      <c r="AL77" s="443"/>
      <c r="AM77" s="384"/>
      <c r="AN77" s="443"/>
      <c r="AO77" s="443"/>
      <c r="AP77" s="384"/>
      <c r="AQ77" s="443"/>
      <c r="AR77" s="443"/>
      <c r="AS77" s="384"/>
      <c r="AT77" s="443"/>
      <c r="AU77" s="443"/>
      <c r="AV77" s="384"/>
    </row>
    <row r="78" spans="1:49" x14ac:dyDescent="0.25">
      <c r="A78" s="681"/>
      <c r="B78" s="683"/>
      <c r="C78" s="430" t="s">
        <v>26</v>
      </c>
      <c r="D78" s="431">
        <f t="shared" si="35"/>
        <v>3971789.0713168429</v>
      </c>
      <c r="E78" s="432">
        <f t="shared" si="24"/>
        <v>2079402.0114439847</v>
      </c>
      <c r="F78" s="433">
        <f t="shared" si="25"/>
        <v>-1892387.0598728582</v>
      </c>
      <c r="G78" s="437">
        <f>G7*G37*Faktory!$D$8</f>
        <v>2939667.3292750958</v>
      </c>
      <c r="H78" s="437">
        <f>((H68*G37)-(H68*((G37-H37)*(1+$AW$36))))*Faktory!$D$8</f>
        <v>1469833.6646375479</v>
      </c>
      <c r="I78" s="393">
        <f t="shared" ref="I78:I96" si="36">H78-G78</f>
        <v>-1469833.6646375479</v>
      </c>
      <c r="J78" s="437">
        <f>J7*J37*Faktory!$D$8</f>
        <v>751599.3146850575</v>
      </c>
      <c r="K78" s="437">
        <f>((K68*J37)-(K68*((J37-K37)*(1+$AW$36))))*Faktory!$D$8</f>
        <v>375799.65734252875</v>
      </c>
      <c r="L78" s="393">
        <f t="shared" ref="L78:L96" si="37">K78-J78</f>
        <v>-375799.65734252875</v>
      </c>
      <c r="M78" s="437">
        <f>M7*M37*Faktory!$D$8</f>
        <v>280522.4273566897</v>
      </c>
      <c r="N78" s="437">
        <f>((N68*M37)-(N68*((M37-N37)*(1+$AW$36))))*Faktory!$D$8</f>
        <v>233768.68946390806</v>
      </c>
      <c r="O78" s="393">
        <f t="shared" ref="O78:O96" si="38">N78-M78</f>
        <v>-46753.737892781646</v>
      </c>
      <c r="P78" s="437"/>
      <c r="Q78" s="437"/>
      <c r="R78" s="393"/>
      <c r="S78" s="437"/>
      <c r="T78" s="437"/>
      <c r="U78" s="393"/>
      <c r="V78" s="437"/>
      <c r="W78" s="437"/>
      <c r="X78" s="393"/>
      <c r="Y78" s="437"/>
      <c r="Z78" s="437"/>
      <c r="AA78" s="393"/>
      <c r="AB78" s="437"/>
      <c r="AC78" s="437"/>
      <c r="AD78" s="393"/>
      <c r="AE78" s="437"/>
      <c r="AF78" s="437"/>
      <c r="AG78" s="393"/>
      <c r="AH78" s="437"/>
      <c r="AI78" s="437"/>
      <c r="AJ78" s="393"/>
      <c r="AK78" s="437"/>
      <c r="AL78" s="437"/>
      <c r="AM78" s="393"/>
      <c r="AN78" s="437"/>
      <c r="AO78" s="437"/>
      <c r="AP78" s="393"/>
      <c r="AQ78" s="437"/>
      <c r="AR78" s="437"/>
      <c r="AS78" s="393"/>
      <c r="AT78" s="437"/>
      <c r="AU78" s="437"/>
      <c r="AV78" s="393"/>
    </row>
    <row r="79" spans="1:49" x14ac:dyDescent="0.25">
      <c r="A79" s="681"/>
      <c r="B79" s="683"/>
      <c r="C79" s="430" t="s">
        <v>27</v>
      </c>
      <c r="D79" s="431">
        <f t="shared" si="35"/>
        <v>3977399.5198639766</v>
      </c>
      <c r="E79" s="432">
        <f t="shared" si="24"/>
        <v>2084077.3852332628</v>
      </c>
      <c r="F79" s="433">
        <f t="shared" si="25"/>
        <v>-1893322.1346307138</v>
      </c>
      <c r="G79" s="437">
        <f>G8*G38*Faktory!$D$8</f>
        <v>2939667.3292750958</v>
      </c>
      <c r="H79" s="437">
        <f>((H69*G38)-(H69*((G38-H38)*(1+$AW$36))))*Faktory!$D$8</f>
        <v>1469833.6646375479</v>
      </c>
      <c r="I79" s="393">
        <f t="shared" si="36"/>
        <v>-1469833.6646375479</v>
      </c>
      <c r="J79" s="437">
        <f>J8*J38*Faktory!$D$8</f>
        <v>751599.3146850575</v>
      </c>
      <c r="K79" s="437">
        <f>((K69*J38)-(K69*((J38-K38)*(1+$AW$36))))*Faktory!$D$8</f>
        <v>375799.65734252875</v>
      </c>
      <c r="L79" s="393">
        <f t="shared" si="37"/>
        <v>-375799.65734252875</v>
      </c>
      <c r="M79" s="437">
        <f>M8*M38*Faktory!$D$8</f>
        <v>286132.87590382347</v>
      </c>
      <c r="N79" s="437">
        <f>((N69*M38)-(N69*((M38-N38)*(1+$AW$36))))*Faktory!$D$8</f>
        <v>238444.06325318626</v>
      </c>
      <c r="O79" s="393">
        <f t="shared" si="38"/>
        <v>-47688.812650637206</v>
      </c>
      <c r="P79" s="437"/>
      <c r="Q79" s="437"/>
      <c r="R79" s="393"/>
      <c r="S79" s="437"/>
      <c r="T79" s="437"/>
      <c r="U79" s="393"/>
      <c r="V79" s="437"/>
      <c r="W79" s="437"/>
      <c r="X79" s="393"/>
      <c r="Y79" s="437"/>
      <c r="Z79" s="437"/>
      <c r="AA79" s="393"/>
      <c r="AB79" s="437"/>
      <c r="AC79" s="437"/>
      <c r="AD79" s="393"/>
      <c r="AE79" s="437"/>
      <c r="AF79" s="437"/>
      <c r="AG79" s="393"/>
      <c r="AH79" s="437"/>
      <c r="AI79" s="437"/>
      <c r="AJ79" s="393"/>
      <c r="AK79" s="437"/>
      <c r="AL79" s="437"/>
      <c r="AM79" s="393"/>
      <c r="AN79" s="437"/>
      <c r="AO79" s="437"/>
      <c r="AP79" s="393"/>
      <c r="AQ79" s="437"/>
      <c r="AR79" s="437"/>
      <c r="AS79" s="393"/>
      <c r="AT79" s="437"/>
      <c r="AU79" s="437"/>
      <c r="AV79" s="393"/>
    </row>
    <row r="80" spans="1:49" x14ac:dyDescent="0.25">
      <c r="A80" s="681"/>
      <c r="B80" s="683"/>
      <c r="C80" s="430" t="s">
        <v>28</v>
      </c>
      <c r="D80" s="431">
        <f t="shared" si="35"/>
        <v>0</v>
      </c>
      <c r="E80" s="432">
        <f t="shared" si="24"/>
        <v>0</v>
      </c>
      <c r="F80" s="433">
        <f t="shared" si="25"/>
        <v>0</v>
      </c>
      <c r="G80" s="437">
        <f>G9*G39*Faktory!$D$8</f>
        <v>0</v>
      </c>
      <c r="H80" s="437">
        <f>((H70*G39)-(H70*((G39-H39)*(1+$AW$36))))*Faktory!$D$8</f>
        <v>0</v>
      </c>
      <c r="I80" s="393">
        <f t="shared" si="36"/>
        <v>0</v>
      </c>
      <c r="J80" s="437">
        <f>J9*J39*Faktory!$D$8</f>
        <v>0</v>
      </c>
      <c r="K80" s="437">
        <f>((K70*J39)-(K70*((J39-K39)*(1+$AW$36))))*Faktory!$D$8</f>
        <v>0</v>
      </c>
      <c r="L80" s="393">
        <f t="shared" si="37"/>
        <v>0</v>
      </c>
      <c r="M80" s="437">
        <f>M9*M39*Faktory!$D$8</f>
        <v>0</v>
      </c>
      <c r="N80" s="437">
        <f>((N70*M39)-(N70*((M39-N39)*(1+$AW$36))))*Faktory!$D$8</f>
        <v>0</v>
      </c>
      <c r="O80" s="393">
        <f t="shared" si="38"/>
        <v>0</v>
      </c>
      <c r="P80" s="437"/>
      <c r="Q80" s="437"/>
      <c r="R80" s="393"/>
      <c r="S80" s="437"/>
      <c r="T80" s="437"/>
      <c r="U80" s="393"/>
      <c r="V80" s="437"/>
      <c r="W80" s="437"/>
      <c r="X80" s="393"/>
      <c r="Y80" s="437"/>
      <c r="Z80" s="437"/>
      <c r="AA80" s="393"/>
      <c r="AB80" s="437"/>
      <c r="AC80" s="437"/>
      <c r="AD80" s="393"/>
      <c r="AE80" s="437"/>
      <c r="AF80" s="437"/>
      <c r="AG80" s="393"/>
      <c r="AH80" s="437"/>
      <c r="AI80" s="437"/>
      <c r="AJ80" s="393"/>
      <c r="AK80" s="437"/>
      <c r="AL80" s="437"/>
      <c r="AM80" s="393"/>
      <c r="AN80" s="437"/>
      <c r="AO80" s="437"/>
      <c r="AP80" s="393"/>
      <c r="AQ80" s="437"/>
      <c r="AR80" s="437"/>
      <c r="AS80" s="393"/>
      <c r="AT80" s="437"/>
      <c r="AU80" s="437"/>
      <c r="AV80" s="393"/>
    </row>
    <row r="81" spans="1:48" x14ac:dyDescent="0.25">
      <c r="A81" s="681"/>
      <c r="B81" s="683"/>
      <c r="C81" s="430" t="s">
        <v>29</v>
      </c>
      <c r="D81" s="431">
        <f t="shared" si="35"/>
        <v>0</v>
      </c>
      <c r="E81" s="432">
        <f t="shared" si="24"/>
        <v>0</v>
      </c>
      <c r="F81" s="433">
        <f t="shared" si="25"/>
        <v>0</v>
      </c>
      <c r="G81" s="437">
        <f>G10*G40*Faktory!$D$8</f>
        <v>0</v>
      </c>
      <c r="H81" s="437">
        <f>((H71*G40)-(H71*((G40-H40)*(1+$AW$36))))*Faktory!$D$8</f>
        <v>0</v>
      </c>
      <c r="I81" s="393">
        <f t="shared" si="36"/>
        <v>0</v>
      </c>
      <c r="J81" s="437">
        <f>J10*J40*Faktory!$D$8</f>
        <v>0</v>
      </c>
      <c r="K81" s="437">
        <f>((K71*J40)-(K71*((J40-K40)*(1+$AW$36))))*Faktory!$D$8</f>
        <v>0</v>
      </c>
      <c r="L81" s="393">
        <f t="shared" si="37"/>
        <v>0</v>
      </c>
      <c r="M81" s="437">
        <f>M10*M40*Faktory!$D$8</f>
        <v>0</v>
      </c>
      <c r="N81" s="437">
        <f>((N71*M40)-(N71*((M40-N40)*(1+$AW$36))))*Faktory!$D$8</f>
        <v>0</v>
      </c>
      <c r="O81" s="393">
        <f t="shared" si="38"/>
        <v>0</v>
      </c>
      <c r="P81" s="437"/>
      <c r="Q81" s="437"/>
      <c r="R81" s="393"/>
      <c r="S81" s="437"/>
      <c r="T81" s="437"/>
      <c r="U81" s="393"/>
      <c r="V81" s="437"/>
      <c r="W81" s="437"/>
      <c r="X81" s="393"/>
      <c r="Y81" s="437"/>
      <c r="Z81" s="437"/>
      <c r="AA81" s="393"/>
      <c r="AB81" s="437"/>
      <c r="AC81" s="437"/>
      <c r="AD81" s="393"/>
      <c r="AE81" s="437"/>
      <c r="AF81" s="437"/>
      <c r="AG81" s="393"/>
      <c r="AH81" s="437"/>
      <c r="AI81" s="437"/>
      <c r="AJ81" s="393"/>
      <c r="AK81" s="437"/>
      <c r="AL81" s="437"/>
      <c r="AM81" s="393"/>
      <c r="AN81" s="437"/>
      <c r="AO81" s="437"/>
      <c r="AP81" s="393"/>
      <c r="AQ81" s="437"/>
      <c r="AR81" s="437"/>
      <c r="AS81" s="393"/>
      <c r="AT81" s="437"/>
      <c r="AU81" s="437"/>
      <c r="AV81" s="393"/>
    </row>
    <row r="82" spans="1:48" x14ac:dyDescent="0.25">
      <c r="A82" s="681"/>
      <c r="B82" s="683"/>
      <c r="C82" s="430" t="s">
        <v>30</v>
      </c>
      <c r="D82" s="431">
        <f t="shared" si="35"/>
        <v>0</v>
      </c>
      <c r="E82" s="432">
        <f t="shared" si="24"/>
        <v>0</v>
      </c>
      <c r="F82" s="433">
        <f t="shared" si="25"/>
        <v>0</v>
      </c>
      <c r="G82" s="437">
        <f>G11*G41*Faktory!$D$8</f>
        <v>0</v>
      </c>
      <c r="H82" s="437">
        <f>((H72*G41)-(H72*((G41-H41)*(1+$AW$36))))*Faktory!$D$8</f>
        <v>0</v>
      </c>
      <c r="I82" s="393">
        <f t="shared" si="36"/>
        <v>0</v>
      </c>
      <c r="J82" s="437">
        <f>J11*J41*Faktory!$D$8</f>
        <v>0</v>
      </c>
      <c r="K82" s="437">
        <f>((K72*J41)-(K72*((J41-K41)*(1+$AW$36))))*Faktory!$D$8</f>
        <v>0</v>
      </c>
      <c r="L82" s="393">
        <f t="shared" si="37"/>
        <v>0</v>
      </c>
      <c r="M82" s="437">
        <f>M11*M41*Faktory!$D$8</f>
        <v>0</v>
      </c>
      <c r="N82" s="437">
        <f>((N72*M41)-(N72*((M41-N41)*(1+$AW$36))))*Faktory!$D$8</f>
        <v>0</v>
      </c>
      <c r="O82" s="393">
        <f t="shared" si="38"/>
        <v>0</v>
      </c>
      <c r="P82" s="437"/>
      <c r="Q82" s="437"/>
      <c r="R82" s="393"/>
      <c r="S82" s="437"/>
      <c r="T82" s="437"/>
      <c r="U82" s="393"/>
      <c r="V82" s="437"/>
      <c r="W82" s="437"/>
      <c r="X82" s="393"/>
      <c r="Y82" s="437"/>
      <c r="Z82" s="437"/>
      <c r="AA82" s="393"/>
      <c r="AB82" s="437"/>
      <c r="AC82" s="437"/>
      <c r="AD82" s="393"/>
      <c r="AE82" s="437"/>
      <c r="AF82" s="437"/>
      <c r="AG82" s="393"/>
      <c r="AH82" s="437"/>
      <c r="AI82" s="437"/>
      <c r="AJ82" s="393"/>
      <c r="AK82" s="437"/>
      <c r="AL82" s="437"/>
      <c r="AM82" s="393"/>
      <c r="AN82" s="437"/>
      <c r="AO82" s="437"/>
      <c r="AP82" s="393"/>
      <c r="AQ82" s="437"/>
      <c r="AR82" s="437"/>
      <c r="AS82" s="393"/>
      <c r="AT82" s="437"/>
      <c r="AU82" s="437"/>
      <c r="AV82" s="393"/>
    </row>
    <row r="83" spans="1:48" x14ac:dyDescent="0.25">
      <c r="A83" s="681"/>
      <c r="B83" s="683"/>
      <c r="C83" s="430" t="s">
        <v>31</v>
      </c>
      <c r="D83" s="431">
        <f t="shared" si="35"/>
        <v>0</v>
      </c>
      <c r="E83" s="432">
        <f t="shared" ref="E83:E136" si="39">H83+K83+N83+Q83+T83+W83+Z83+AC83+AF83+AI83+AL83+AO83+AR83+AU83</f>
        <v>0</v>
      </c>
      <c r="F83" s="433">
        <f t="shared" si="25"/>
        <v>0</v>
      </c>
      <c r="G83" s="437">
        <f>G12*G42*Faktory!$D$8</f>
        <v>0</v>
      </c>
      <c r="H83" s="437">
        <f>((H73*G42)-(H73*((G42-H42)*(1+$AW$36))))*Faktory!$D$8</f>
        <v>0</v>
      </c>
      <c r="I83" s="393">
        <f t="shared" si="36"/>
        <v>0</v>
      </c>
      <c r="J83" s="437">
        <f>J12*J42*Faktory!$D$8</f>
        <v>0</v>
      </c>
      <c r="K83" s="437">
        <f>((K73*J42)-(K73*((J42-K42)*(1+$AW$36))))*Faktory!$D$8</f>
        <v>0</v>
      </c>
      <c r="L83" s="393">
        <f t="shared" si="37"/>
        <v>0</v>
      </c>
      <c r="M83" s="437">
        <f>M12*M42*Faktory!$D$8</f>
        <v>0</v>
      </c>
      <c r="N83" s="437">
        <f>((N73*M42)-(N73*((M42-N42)*(1+$AW$36))))*Faktory!$D$8</f>
        <v>0</v>
      </c>
      <c r="O83" s="393">
        <f t="shared" si="38"/>
        <v>0</v>
      </c>
      <c r="P83" s="437"/>
      <c r="Q83" s="437"/>
      <c r="R83" s="393"/>
      <c r="S83" s="437"/>
      <c r="T83" s="437"/>
      <c r="U83" s="393"/>
      <c r="V83" s="437"/>
      <c r="W83" s="437"/>
      <c r="X83" s="393"/>
      <c r="Y83" s="437"/>
      <c r="Z83" s="437"/>
      <c r="AA83" s="393"/>
      <c r="AB83" s="437"/>
      <c r="AC83" s="437"/>
      <c r="AD83" s="393"/>
      <c r="AE83" s="437"/>
      <c r="AF83" s="437"/>
      <c r="AG83" s="393"/>
      <c r="AH83" s="437"/>
      <c r="AI83" s="437"/>
      <c r="AJ83" s="393"/>
      <c r="AK83" s="437"/>
      <c r="AL83" s="437"/>
      <c r="AM83" s="393"/>
      <c r="AN83" s="437"/>
      <c r="AO83" s="437"/>
      <c r="AP83" s="393"/>
      <c r="AQ83" s="437"/>
      <c r="AR83" s="437"/>
      <c r="AS83" s="393"/>
      <c r="AT83" s="437"/>
      <c r="AU83" s="437"/>
      <c r="AV83" s="393"/>
    </row>
    <row r="84" spans="1:48" x14ac:dyDescent="0.25">
      <c r="A84" s="681"/>
      <c r="B84" s="683"/>
      <c r="C84" s="430" t="s">
        <v>32</v>
      </c>
      <c r="D84" s="431">
        <f t="shared" si="35"/>
        <v>0</v>
      </c>
      <c r="E84" s="432">
        <f t="shared" si="39"/>
        <v>0</v>
      </c>
      <c r="F84" s="433">
        <f t="shared" si="25"/>
        <v>0</v>
      </c>
      <c r="G84" s="437">
        <f>G13*G43*Faktory!$D$8</f>
        <v>0</v>
      </c>
      <c r="H84" s="437">
        <f>((H74*G43)-(H74*((G43-H43)*(1+$AW$36))))*Faktory!$D$8</f>
        <v>0</v>
      </c>
      <c r="I84" s="393">
        <f t="shared" si="36"/>
        <v>0</v>
      </c>
      <c r="J84" s="437">
        <f>J13*J43*Faktory!$D$8</f>
        <v>0</v>
      </c>
      <c r="K84" s="437">
        <f>((K74*J43)-(K74*((J43-K43)*(1+$AW$36))))*Faktory!$D$8</f>
        <v>0</v>
      </c>
      <c r="L84" s="393">
        <f t="shared" si="37"/>
        <v>0</v>
      </c>
      <c r="M84" s="437">
        <f>M13*M43*Faktory!$D$8</f>
        <v>0</v>
      </c>
      <c r="N84" s="437">
        <f>((N74*M43)-(N74*((M43-N43)*(1+$AW$36))))*Faktory!$D$8</f>
        <v>0</v>
      </c>
      <c r="O84" s="393">
        <f t="shared" si="38"/>
        <v>0</v>
      </c>
      <c r="P84" s="437"/>
      <c r="Q84" s="437"/>
      <c r="R84" s="393"/>
      <c r="S84" s="437"/>
      <c r="T84" s="437"/>
      <c r="U84" s="393"/>
      <c r="V84" s="437"/>
      <c r="W84" s="437"/>
      <c r="X84" s="393"/>
      <c r="Y84" s="437"/>
      <c r="Z84" s="437"/>
      <c r="AA84" s="393"/>
      <c r="AB84" s="437"/>
      <c r="AC84" s="437"/>
      <c r="AD84" s="393"/>
      <c r="AE84" s="437"/>
      <c r="AF84" s="437"/>
      <c r="AG84" s="393"/>
      <c r="AH84" s="437"/>
      <c r="AI84" s="437"/>
      <c r="AJ84" s="393"/>
      <c r="AK84" s="437"/>
      <c r="AL84" s="437"/>
      <c r="AM84" s="393"/>
      <c r="AN84" s="437"/>
      <c r="AO84" s="437"/>
      <c r="AP84" s="393"/>
      <c r="AQ84" s="437"/>
      <c r="AR84" s="437"/>
      <c r="AS84" s="393"/>
      <c r="AT84" s="437"/>
      <c r="AU84" s="437"/>
      <c r="AV84" s="393"/>
    </row>
    <row r="85" spans="1:48" x14ac:dyDescent="0.25">
      <c r="A85" s="681"/>
      <c r="B85" s="683"/>
      <c r="C85" s="430" t="s">
        <v>33</v>
      </c>
      <c r="D85" s="431">
        <f t="shared" si="35"/>
        <v>0</v>
      </c>
      <c r="E85" s="432">
        <f t="shared" si="39"/>
        <v>0</v>
      </c>
      <c r="F85" s="433">
        <f t="shared" si="25"/>
        <v>0</v>
      </c>
      <c r="G85" s="437">
        <f>G14*G44*Faktory!$D$8</f>
        <v>0</v>
      </c>
      <c r="H85" s="437">
        <f>((H75*G44)-(H75*((G44-H44)*(1+$AW$36))))*Faktory!$D$8</f>
        <v>0</v>
      </c>
      <c r="I85" s="393">
        <f t="shared" si="36"/>
        <v>0</v>
      </c>
      <c r="J85" s="437">
        <f>J14*J44*Faktory!$D$8</f>
        <v>0</v>
      </c>
      <c r="K85" s="437">
        <f>((K75*J44)-(K75*((J44-K44)*(1+$AW$36))))*Faktory!$D$8</f>
        <v>0</v>
      </c>
      <c r="L85" s="393">
        <f t="shared" si="37"/>
        <v>0</v>
      </c>
      <c r="M85" s="437">
        <f>M14*M44*Faktory!$D$8</f>
        <v>0</v>
      </c>
      <c r="N85" s="437">
        <f>((N75*M44)-(N75*((M44-N44)*(1+$AW$36))))*Faktory!$D$8</f>
        <v>0</v>
      </c>
      <c r="O85" s="393">
        <f t="shared" si="38"/>
        <v>0</v>
      </c>
      <c r="P85" s="437"/>
      <c r="Q85" s="437"/>
      <c r="R85" s="393"/>
      <c r="S85" s="437"/>
      <c r="T85" s="437"/>
      <c r="U85" s="393"/>
      <c r="V85" s="437"/>
      <c r="W85" s="437"/>
      <c r="X85" s="393"/>
      <c r="Y85" s="437"/>
      <c r="Z85" s="437"/>
      <c r="AA85" s="393"/>
      <c r="AB85" s="437"/>
      <c r="AC85" s="437"/>
      <c r="AD85" s="393"/>
      <c r="AE85" s="437"/>
      <c r="AF85" s="437"/>
      <c r="AG85" s="393"/>
      <c r="AH85" s="437"/>
      <c r="AI85" s="437"/>
      <c r="AJ85" s="393"/>
      <c r="AK85" s="437"/>
      <c r="AL85" s="437"/>
      <c r="AM85" s="393"/>
      <c r="AN85" s="437"/>
      <c r="AO85" s="437"/>
      <c r="AP85" s="393"/>
      <c r="AQ85" s="437"/>
      <c r="AR85" s="437"/>
      <c r="AS85" s="393"/>
      <c r="AT85" s="437"/>
      <c r="AU85" s="437"/>
      <c r="AV85" s="393"/>
    </row>
    <row r="86" spans="1:48" ht="15.75" thickBot="1" x14ac:dyDescent="0.3">
      <c r="A86" s="682"/>
      <c r="B86" s="684"/>
      <c r="C86" s="438" t="s">
        <v>34</v>
      </c>
      <c r="D86" s="439">
        <f t="shared" si="35"/>
        <v>0</v>
      </c>
      <c r="E86" s="440">
        <f t="shared" si="39"/>
        <v>0</v>
      </c>
      <c r="F86" s="441">
        <f t="shared" si="25"/>
        <v>0</v>
      </c>
      <c r="G86" s="442">
        <f>G15*G45*Faktory!$D$8</f>
        <v>0</v>
      </c>
      <c r="H86" s="442">
        <f>((H76*G45)-(H76*((G45-H45)*(1+$AW$36))))*Faktory!$D$8</f>
        <v>0</v>
      </c>
      <c r="I86" s="399">
        <f t="shared" si="36"/>
        <v>0</v>
      </c>
      <c r="J86" s="442">
        <f>J15*J45*Faktory!$D$8</f>
        <v>0</v>
      </c>
      <c r="K86" s="442">
        <f>((K76*J45)-(K76*((J45-K45)*(1+$AW$36))))*Faktory!$D$8</f>
        <v>0</v>
      </c>
      <c r="L86" s="399">
        <f t="shared" si="37"/>
        <v>0</v>
      </c>
      <c r="M86" s="442">
        <f>M15*M45*Faktory!$D$8</f>
        <v>0</v>
      </c>
      <c r="N86" s="442">
        <f>((N76*M45)-(N76*((M45-N45)*(1+$AW$36))))*Faktory!$D$8</f>
        <v>0</v>
      </c>
      <c r="O86" s="399">
        <f t="shared" si="38"/>
        <v>0</v>
      </c>
      <c r="P86" s="442"/>
      <c r="Q86" s="442"/>
      <c r="R86" s="399"/>
      <c r="S86" s="442"/>
      <c r="T86" s="442"/>
      <c r="U86" s="399"/>
      <c r="V86" s="442"/>
      <c r="W86" s="442"/>
      <c r="X86" s="399"/>
      <c r="Y86" s="442"/>
      <c r="Z86" s="442"/>
      <c r="AA86" s="399"/>
      <c r="AB86" s="442"/>
      <c r="AC86" s="442"/>
      <c r="AD86" s="399"/>
      <c r="AE86" s="442"/>
      <c r="AF86" s="442"/>
      <c r="AG86" s="399"/>
      <c r="AH86" s="442"/>
      <c r="AI86" s="442"/>
      <c r="AJ86" s="399"/>
      <c r="AK86" s="442"/>
      <c r="AL86" s="442"/>
      <c r="AM86" s="399"/>
      <c r="AN86" s="442"/>
      <c r="AO86" s="442"/>
      <c r="AP86" s="399"/>
      <c r="AQ86" s="442"/>
      <c r="AR86" s="442"/>
      <c r="AS86" s="399"/>
      <c r="AT86" s="442"/>
      <c r="AU86" s="442"/>
      <c r="AV86" s="399"/>
    </row>
    <row r="87" spans="1:48" x14ac:dyDescent="0.25">
      <c r="A87" s="681" t="s">
        <v>185</v>
      </c>
      <c r="B87" s="683" t="s">
        <v>186</v>
      </c>
      <c r="C87" s="430" t="s">
        <v>25</v>
      </c>
      <c r="D87" s="445">
        <f t="shared" si="35"/>
        <v>184.4148148148148</v>
      </c>
      <c r="E87" s="446">
        <f t="shared" si="39"/>
        <v>96.469841269841268</v>
      </c>
      <c r="F87" s="447">
        <f t="shared" si="25"/>
        <v>-87.944973544973536</v>
      </c>
      <c r="G87" s="448">
        <f t="shared" ref="G87:H96" si="40">(G6*G36)/12/21/7.5</f>
        <v>136.68148148148148</v>
      </c>
      <c r="H87" s="448">
        <f t="shared" si="40"/>
        <v>68.340740740740742</v>
      </c>
      <c r="I87" s="449">
        <f t="shared" si="36"/>
        <v>-68.340740740740742</v>
      </c>
      <c r="J87" s="448">
        <f t="shared" ref="J87:K96" si="41">(J6*J36)/12/21/7.5</f>
        <v>34.946031746031743</v>
      </c>
      <c r="K87" s="448">
        <f t="shared" si="41"/>
        <v>17.473015873015871</v>
      </c>
      <c r="L87" s="449">
        <f t="shared" si="37"/>
        <v>-17.473015873015871</v>
      </c>
      <c r="M87" s="448">
        <f t="shared" ref="M87:N96" si="42">(M6*M36)/12/21/7.5</f>
        <v>12.787301587301586</v>
      </c>
      <c r="N87" s="448">
        <f t="shared" si="42"/>
        <v>10.656084656084655</v>
      </c>
      <c r="O87" s="449">
        <f t="shared" si="38"/>
        <v>-2.1312169312169313</v>
      </c>
      <c r="P87" s="448"/>
      <c r="Q87" s="448"/>
      <c r="R87" s="449"/>
      <c r="S87" s="448"/>
      <c r="T87" s="448"/>
      <c r="U87" s="449"/>
      <c r="V87" s="448"/>
      <c r="W87" s="448"/>
      <c r="X87" s="449"/>
      <c r="Y87" s="448"/>
      <c r="Z87" s="448"/>
      <c r="AA87" s="449"/>
      <c r="AB87" s="448"/>
      <c r="AC87" s="448"/>
      <c r="AD87" s="449"/>
      <c r="AE87" s="448"/>
      <c r="AF87" s="448"/>
      <c r="AG87" s="449"/>
      <c r="AH87" s="448"/>
      <c r="AI87" s="448"/>
      <c r="AJ87" s="449"/>
      <c r="AK87" s="448"/>
      <c r="AL87" s="448"/>
      <c r="AM87" s="449"/>
      <c r="AN87" s="448"/>
      <c r="AO87" s="448"/>
      <c r="AP87" s="449"/>
      <c r="AQ87" s="448"/>
      <c r="AR87" s="448"/>
      <c r="AS87" s="449"/>
      <c r="AT87" s="448"/>
      <c r="AU87" s="448"/>
      <c r="AV87" s="449"/>
    </row>
    <row r="88" spans="1:48" x14ac:dyDescent="0.25">
      <c r="A88" s="681"/>
      <c r="B88" s="683"/>
      <c r="C88" s="430" t="s">
        <v>26</v>
      </c>
      <c r="D88" s="445">
        <f t="shared" si="35"/>
        <v>184.67056084656085</v>
      </c>
      <c r="E88" s="446">
        <f t="shared" si="39"/>
        <v>96.682962962962961</v>
      </c>
      <c r="F88" s="447">
        <f t="shared" si="25"/>
        <v>-87.987597883597871</v>
      </c>
      <c r="G88" s="450">
        <f t="shared" si="40"/>
        <v>136.68148148148148</v>
      </c>
      <c r="H88" s="450">
        <f t="shared" si="40"/>
        <v>68.340740740740742</v>
      </c>
      <c r="I88" s="451">
        <f t="shared" si="36"/>
        <v>-68.340740740740742</v>
      </c>
      <c r="J88" s="450">
        <f t="shared" si="41"/>
        <v>34.946031746031743</v>
      </c>
      <c r="K88" s="450">
        <f t="shared" si="41"/>
        <v>17.473015873015871</v>
      </c>
      <c r="L88" s="451">
        <f t="shared" si="37"/>
        <v>-17.473015873015871</v>
      </c>
      <c r="M88" s="450">
        <f t="shared" si="42"/>
        <v>13.04304761904762</v>
      </c>
      <c r="N88" s="450">
        <f t="shared" si="42"/>
        <v>10.869206349206353</v>
      </c>
      <c r="O88" s="451">
        <f t="shared" si="38"/>
        <v>-2.173841269841267</v>
      </c>
      <c r="P88" s="450"/>
      <c r="Q88" s="450"/>
      <c r="R88" s="451"/>
      <c r="S88" s="450"/>
      <c r="T88" s="450"/>
      <c r="U88" s="451"/>
      <c r="V88" s="450"/>
      <c r="W88" s="450"/>
      <c r="X88" s="451"/>
      <c r="Y88" s="450"/>
      <c r="Z88" s="450"/>
      <c r="AA88" s="451"/>
      <c r="AB88" s="450"/>
      <c r="AC88" s="450"/>
      <c r="AD88" s="451"/>
      <c r="AE88" s="450"/>
      <c r="AF88" s="450"/>
      <c r="AG88" s="451"/>
      <c r="AH88" s="450"/>
      <c r="AI88" s="450"/>
      <c r="AJ88" s="451"/>
      <c r="AK88" s="450"/>
      <c r="AL88" s="450"/>
      <c r="AM88" s="451"/>
      <c r="AN88" s="450"/>
      <c r="AO88" s="450"/>
      <c r="AP88" s="451"/>
      <c r="AQ88" s="450"/>
      <c r="AR88" s="450"/>
      <c r="AS88" s="451"/>
      <c r="AT88" s="450"/>
      <c r="AU88" s="450"/>
      <c r="AV88" s="451"/>
    </row>
    <row r="89" spans="1:48" x14ac:dyDescent="0.25">
      <c r="A89" s="681"/>
      <c r="B89" s="683"/>
      <c r="C89" s="430" t="s">
        <v>27</v>
      </c>
      <c r="D89" s="445">
        <f t="shared" si="35"/>
        <v>184.93142179894178</v>
      </c>
      <c r="E89" s="446">
        <f t="shared" si="39"/>
        <v>96.90034708994709</v>
      </c>
      <c r="F89" s="447">
        <f t="shared" si="25"/>
        <v>-88.031074708994709</v>
      </c>
      <c r="G89" s="450">
        <f t="shared" si="40"/>
        <v>136.68148148148148</v>
      </c>
      <c r="H89" s="450">
        <f t="shared" si="40"/>
        <v>68.340740740740742</v>
      </c>
      <c r="I89" s="451">
        <f t="shared" si="36"/>
        <v>-68.340740740740742</v>
      </c>
      <c r="J89" s="450">
        <f t="shared" si="41"/>
        <v>34.946031746031743</v>
      </c>
      <c r="K89" s="450">
        <f t="shared" si="41"/>
        <v>17.473015873015871</v>
      </c>
      <c r="L89" s="451">
        <f t="shared" si="37"/>
        <v>-17.473015873015871</v>
      </c>
      <c r="M89" s="450">
        <f t="shared" si="42"/>
        <v>13.303908571428572</v>
      </c>
      <c r="N89" s="450">
        <f t="shared" si="42"/>
        <v>11.086590476190477</v>
      </c>
      <c r="O89" s="451">
        <f t="shared" si="38"/>
        <v>-2.2173180952380953</v>
      </c>
      <c r="P89" s="450"/>
      <c r="Q89" s="450"/>
      <c r="R89" s="451"/>
      <c r="S89" s="450"/>
      <c r="T89" s="450"/>
      <c r="U89" s="451"/>
      <c r="V89" s="450"/>
      <c r="W89" s="450"/>
      <c r="X89" s="451"/>
      <c r="Y89" s="450"/>
      <c r="Z89" s="450"/>
      <c r="AA89" s="451"/>
      <c r="AB89" s="450"/>
      <c r="AC89" s="450"/>
      <c r="AD89" s="451"/>
      <c r="AE89" s="450"/>
      <c r="AF89" s="450"/>
      <c r="AG89" s="451"/>
      <c r="AH89" s="450"/>
      <c r="AI89" s="450"/>
      <c r="AJ89" s="451"/>
      <c r="AK89" s="450"/>
      <c r="AL89" s="450"/>
      <c r="AM89" s="451"/>
      <c r="AN89" s="450"/>
      <c r="AO89" s="450"/>
      <c r="AP89" s="451"/>
      <c r="AQ89" s="450"/>
      <c r="AR89" s="450"/>
      <c r="AS89" s="451"/>
      <c r="AT89" s="450"/>
      <c r="AU89" s="450"/>
      <c r="AV89" s="451"/>
    </row>
    <row r="90" spans="1:48" x14ac:dyDescent="0.25">
      <c r="A90" s="681"/>
      <c r="B90" s="683"/>
      <c r="C90" s="430" t="s">
        <v>28</v>
      </c>
      <c r="D90" s="445">
        <f t="shared" si="35"/>
        <v>0</v>
      </c>
      <c r="E90" s="446">
        <f t="shared" si="39"/>
        <v>0</v>
      </c>
      <c r="F90" s="447">
        <f t="shared" si="25"/>
        <v>0</v>
      </c>
      <c r="G90" s="450">
        <f t="shared" si="40"/>
        <v>0</v>
      </c>
      <c r="H90" s="450">
        <f t="shared" si="40"/>
        <v>0</v>
      </c>
      <c r="I90" s="451">
        <f t="shared" si="36"/>
        <v>0</v>
      </c>
      <c r="J90" s="450">
        <f t="shared" si="41"/>
        <v>0</v>
      </c>
      <c r="K90" s="450">
        <f t="shared" si="41"/>
        <v>0</v>
      </c>
      <c r="L90" s="451">
        <f t="shared" si="37"/>
        <v>0</v>
      </c>
      <c r="M90" s="450">
        <f t="shared" si="42"/>
        <v>0</v>
      </c>
      <c r="N90" s="450">
        <f t="shared" si="42"/>
        <v>0</v>
      </c>
      <c r="O90" s="451">
        <f t="shared" si="38"/>
        <v>0</v>
      </c>
      <c r="P90" s="450"/>
      <c r="Q90" s="450"/>
      <c r="R90" s="451"/>
      <c r="S90" s="450"/>
      <c r="T90" s="450"/>
      <c r="U90" s="451"/>
      <c r="V90" s="450"/>
      <c r="W90" s="450"/>
      <c r="X90" s="451"/>
      <c r="Y90" s="450"/>
      <c r="Z90" s="450"/>
      <c r="AA90" s="451"/>
      <c r="AB90" s="450"/>
      <c r="AC90" s="450"/>
      <c r="AD90" s="451"/>
      <c r="AE90" s="450"/>
      <c r="AF90" s="450"/>
      <c r="AG90" s="451"/>
      <c r="AH90" s="450"/>
      <c r="AI90" s="450"/>
      <c r="AJ90" s="451"/>
      <c r="AK90" s="450"/>
      <c r="AL90" s="450"/>
      <c r="AM90" s="451"/>
      <c r="AN90" s="450"/>
      <c r="AO90" s="450"/>
      <c r="AP90" s="451"/>
      <c r="AQ90" s="450"/>
      <c r="AR90" s="450"/>
      <c r="AS90" s="451"/>
      <c r="AT90" s="450"/>
      <c r="AU90" s="450"/>
      <c r="AV90" s="451"/>
    </row>
    <row r="91" spans="1:48" x14ac:dyDescent="0.25">
      <c r="A91" s="681"/>
      <c r="B91" s="683"/>
      <c r="C91" s="430" t="s">
        <v>29</v>
      </c>
      <c r="D91" s="445">
        <f t="shared" si="35"/>
        <v>0</v>
      </c>
      <c r="E91" s="446">
        <f t="shared" si="39"/>
        <v>0</v>
      </c>
      <c r="F91" s="447">
        <f t="shared" si="25"/>
        <v>0</v>
      </c>
      <c r="G91" s="450">
        <f t="shared" si="40"/>
        <v>0</v>
      </c>
      <c r="H91" s="450">
        <f t="shared" si="40"/>
        <v>0</v>
      </c>
      <c r="I91" s="451">
        <f t="shared" si="36"/>
        <v>0</v>
      </c>
      <c r="J91" s="450">
        <f t="shared" si="41"/>
        <v>0</v>
      </c>
      <c r="K91" s="450">
        <f t="shared" si="41"/>
        <v>0</v>
      </c>
      <c r="L91" s="451">
        <f t="shared" si="37"/>
        <v>0</v>
      </c>
      <c r="M91" s="450">
        <f t="shared" si="42"/>
        <v>0</v>
      </c>
      <c r="N91" s="450">
        <f t="shared" si="42"/>
        <v>0</v>
      </c>
      <c r="O91" s="451">
        <f t="shared" si="38"/>
        <v>0</v>
      </c>
      <c r="P91" s="450"/>
      <c r="Q91" s="450"/>
      <c r="R91" s="451"/>
      <c r="S91" s="450"/>
      <c r="T91" s="450"/>
      <c r="U91" s="451"/>
      <c r="V91" s="450"/>
      <c r="W91" s="450"/>
      <c r="X91" s="451"/>
      <c r="Y91" s="450"/>
      <c r="Z91" s="450"/>
      <c r="AA91" s="451"/>
      <c r="AB91" s="450"/>
      <c r="AC91" s="450"/>
      <c r="AD91" s="451"/>
      <c r="AE91" s="450"/>
      <c r="AF91" s="450"/>
      <c r="AG91" s="451"/>
      <c r="AH91" s="450"/>
      <c r="AI91" s="450"/>
      <c r="AJ91" s="451"/>
      <c r="AK91" s="450"/>
      <c r="AL91" s="450"/>
      <c r="AM91" s="451"/>
      <c r="AN91" s="450"/>
      <c r="AO91" s="450"/>
      <c r="AP91" s="451"/>
      <c r="AQ91" s="450"/>
      <c r="AR91" s="450"/>
      <c r="AS91" s="451"/>
      <c r="AT91" s="450"/>
      <c r="AU91" s="450"/>
      <c r="AV91" s="451"/>
    </row>
    <row r="92" spans="1:48" x14ac:dyDescent="0.25">
      <c r="A92" s="681"/>
      <c r="B92" s="683"/>
      <c r="C92" s="430" t="s">
        <v>30</v>
      </c>
      <c r="D92" s="445">
        <f t="shared" si="35"/>
        <v>0</v>
      </c>
      <c r="E92" s="446">
        <f t="shared" si="39"/>
        <v>0</v>
      </c>
      <c r="F92" s="447">
        <f t="shared" si="25"/>
        <v>0</v>
      </c>
      <c r="G92" s="450">
        <f t="shared" si="40"/>
        <v>0</v>
      </c>
      <c r="H92" s="450">
        <f t="shared" si="40"/>
        <v>0</v>
      </c>
      <c r="I92" s="451">
        <f t="shared" si="36"/>
        <v>0</v>
      </c>
      <c r="J92" s="450">
        <f t="shared" si="41"/>
        <v>0</v>
      </c>
      <c r="K92" s="450">
        <f t="shared" si="41"/>
        <v>0</v>
      </c>
      <c r="L92" s="451">
        <f t="shared" si="37"/>
        <v>0</v>
      </c>
      <c r="M92" s="450">
        <f t="shared" si="42"/>
        <v>0</v>
      </c>
      <c r="N92" s="450">
        <f t="shared" si="42"/>
        <v>0</v>
      </c>
      <c r="O92" s="451">
        <f t="shared" si="38"/>
        <v>0</v>
      </c>
      <c r="P92" s="450"/>
      <c r="Q92" s="450"/>
      <c r="R92" s="451"/>
      <c r="S92" s="450"/>
      <c r="T92" s="450"/>
      <c r="U92" s="451"/>
      <c r="V92" s="450"/>
      <c r="W92" s="450"/>
      <c r="X92" s="451"/>
      <c r="Y92" s="450"/>
      <c r="Z92" s="450"/>
      <c r="AA92" s="451"/>
      <c r="AB92" s="450"/>
      <c r="AC92" s="450"/>
      <c r="AD92" s="451"/>
      <c r="AE92" s="450"/>
      <c r="AF92" s="450"/>
      <c r="AG92" s="451"/>
      <c r="AH92" s="450"/>
      <c r="AI92" s="450"/>
      <c r="AJ92" s="451"/>
      <c r="AK92" s="450"/>
      <c r="AL92" s="450"/>
      <c r="AM92" s="451"/>
      <c r="AN92" s="450"/>
      <c r="AO92" s="450"/>
      <c r="AP92" s="451"/>
      <c r="AQ92" s="450"/>
      <c r="AR92" s="450"/>
      <c r="AS92" s="451"/>
      <c r="AT92" s="450"/>
      <c r="AU92" s="450"/>
      <c r="AV92" s="451"/>
    </row>
    <row r="93" spans="1:48" x14ac:dyDescent="0.25">
      <c r="A93" s="681"/>
      <c r="B93" s="683"/>
      <c r="C93" s="430" t="s">
        <v>31</v>
      </c>
      <c r="D93" s="445">
        <f t="shared" si="35"/>
        <v>0</v>
      </c>
      <c r="E93" s="446">
        <f t="shared" si="39"/>
        <v>0</v>
      </c>
      <c r="F93" s="447">
        <f t="shared" si="25"/>
        <v>0</v>
      </c>
      <c r="G93" s="450">
        <f t="shared" si="40"/>
        <v>0</v>
      </c>
      <c r="H93" s="450">
        <f t="shared" si="40"/>
        <v>0</v>
      </c>
      <c r="I93" s="451">
        <f t="shared" si="36"/>
        <v>0</v>
      </c>
      <c r="J93" s="450">
        <f t="shared" si="41"/>
        <v>0</v>
      </c>
      <c r="K93" s="450">
        <f t="shared" si="41"/>
        <v>0</v>
      </c>
      <c r="L93" s="451">
        <f t="shared" si="37"/>
        <v>0</v>
      </c>
      <c r="M93" s="450">
        <f t="shared" si="42"/>
        <v>0</v>
      </c>
      <c r="N93" s="450">
        <f t="shared" si="42"/>
        <v>0</v>
      </c>
      <c r="O93" s="451">
        <f t="shared" si="38"/>
        <v>0</v>
      </c>
      <c r="P93" s="450"/>
      <c r="Q93" s="450"/>
      <c r="R93" s="451"/>
      <c r="S93" s="450"/>
      <c r="T93" s="450"/>
      <c r="U93" s="451"/>
      <c r="V93" s="450"/>
      <c r="W93" s="450"/>
      <c r="X93" s="451"/>
      <c r="Y93" s="450"/>
      <c r="Z93" s="450"/>
      <c r="AA93" s="451"/>
      <c r="AB93" s="450"/>
      <c r="AC93" s="450"/>
      <c r="AD93" s="451"/>
      <c r="AE93" s="450"/>
      <c r="AF93" s="450"/>
      <c r="AG93" s="451"/>
      <c r="AH93" s="450"/>
      <c r="AI93" s="450"/>
      <c r="AJ93" s="451"/>
      <c r="AK93" s="450"/>
      <c r="AL93" s="450"/>
      <c r="AM93" s="451"/>
      <c r="AN93" s="450"/>
      <c r="AO93" s="450"/>
      <c r="AP93" s="451"/>
      <c r="AQ93" s="450"/>
      <c r="AR93" s="450"/>
      <c r="AS93" s="451"/>
      <c r="AT93" s="450"/>
      <c r="AU93" s="450"/>
      <c r="AV93" s="451"/>
    </row>
    <row r="94" spans="1:48" x14ac:dyDescent="0.25">
      <c r="A94" s="681"/>
      <c r="B94" s="683"/>
      <c r="C94" s="430" t="s">
        <v>32</v>
      </c>
      <c r="D94" s="445">
        <f t="shared" si="35"/>
        <v>0</v>
      </c>
      <c r="E94" s="446">
        <f t="shared" si="39"/>
        <v>0</v>
      </c>
      <c r="F94" s="447">
        <f t="shared" si="25"/>
        <v>0</v>
      </c>
      <c r="G94" s="450">
        <f t="shared" si="40"/>
        <v>0</v>
      </c>
      <c r="H94" s="450">
        <f t="shared" si="40"/>
        <v>0</v>
      </c>
      <c r="I94" s="451">
        <f t="shared" si="36"/>
        <v>0</v>
      </c>
      <c r="J94" s="450">
        <f t="shared" si="41"/>
        <v>0</v>
      </c>
      <c r="K94" s="450">
        <f t="shared" si="41"/>
        <v>0</v>
      </c>
      <c r="L94" s="451">
        <f t="shared" si="37"/>
        <v>0</v>
      </c>
      <c r="M94" s="450">
        <f t="shared" si="42"/>
        <v>0</v>
      </c>
      <c r="N94" s="450">
        <f t="shared" si="42"/>
        <v>0</v>
      </c>
      <c r="O94" s="451">
        <f t="shared" si="38"/>
        <v>0</v>
      </c>
      <c r="P94" s="450"/>
      <c r="Q94" s="450"/>
      <c r="R94" s="451"/>
      <c r="S94" s="450"/>
      <c r="T94" s="450"/>
      <c r="U94" s="451"/>
      <c r="V94" s="450"/>
      <c r="W94" s="450"/>
      <c r="X94" s="451"/>
      <c r="Y94" s="450"/>
      <c r="Z94" s="450"/>
      <c r="AA94" s="451"/>
      <c r="AB94" s="450"/>
      <c r="AC94" s="450"/>
      <c r="AD94" s="451"/>
      <c r="AE94" s="450"/>
      <c r="AF94" s="450"/>
      <c r="AG94" s="451"/>
      <c r="AH94" s="450"/>
      <c r="AI94" s="450"/>
      <c r="AJ94" s="451"/>
      <c r="AK94" s="450"/>
      <c r="AL94" s="450"/>
      <c r="AM94" s="451"/>
      <c r="AN94" s="450"/>
      <c r="AO94" s="450"/>
      <c r="AP94" s="451"/>
      <c r="AQ94" s="450"/>
      <c r="AR94" s="450"/>
      <c r="AS94" s="451"/>
      <c r="AT94" s="450"/>
      <c r="AU94" s="450"/>
      <c r="AV94" s="451"/>
    </row>
    <row r="95" spans="1:48" x14ac:dyDescent="0.25">
      <c r="A95" s="681"/>
      <c r="B95" s="683"/>
      <c r="C95" s="430" t="s">
        <v>33</v>
      </c>
      <c r="D95" s="445">
        <f t="shared" si="35"/>
        <v>0</v>
      </c>
      <c r="E95" s="446">
        <f t="shared" si="39"/>
        <v>0</v>
      </c>
      <c r="F95" s="447">
        <f t="shared" si="25"/>
        <v>0</v>
      </c>
      <c r="G95" s="450">
        <f t="shared" si="40"/>
        <v>0</v>
      </c>
      <c r="H95" s="450">
        <f t="shared" si="40"/>
        <v>0</v>
      </c>
      <c r="I95" s="451">
        <f t="shared" si="36"/>
        <v>0</v>
      </c>
      <c r="J95" s="450">
        <f t="shared" si="41"/>
        <v>0</v>
      </c>
      <c r="K95" s="450">
        <f t="shared" si="41"/>
        <v>0</v>
      </c>
      <c r="L95" s="451">
        <f t="shared" si="37"/>
        <v>0</v>
      </c>
      <c r="M95" s="450">
        <f t="shared" si="42"/>
        <v>0</v>
      </c>
      <c r="N95" s="450">
        <f t="shared" si="42"/>
        <v>0</v>
      </c>
      <c r="O95" s="451">
        <f t="shared" si="38"/>
        <v>0</v>
      </c>
      <c r="P95" s="450"/>
      <c r="Q95" s="450"/>
      <c r="R95" s="451"/>
      <c r="S95" s="450"/>
      <c r="T95" s="450"/>
      <c r="U95" s="451"/>
      <c r="V95" s="450"/>
      <c r="W95" s="450"/>
      <c r="X95" s="451"/>
      <c r="Y95" s="450"/>
      <c r="Z95" s="450"/>
      <c r="AA95" s="451"/>
      <c r="AB95" s="450"/>
      <c r="AC95" s="450"/>
      <c r="AD95" s="451"/>
      <c r="AE95" s="450"/>
      <c r="AF95" s="450"/>
      <c r="AG95" s="451"/>
      <c r="AH95" s="450"/>
      <c r="AI95" s="450"/>
      <c r="AJ95" s="451"/>
      <c r="AK95" s="450"/>
      <c r="AL95" s="450"/>
      <c r="AM95" s="451"/>
      <c r="AN95" s="450"/>
      <c r="AO95" s="450"/>
      <c r="AP95" s="451"/>
      <c r="AQ95" s="450"/>
      <c r="AR95" s="450"/>
      <c r="AS95" s="451"/>
      <c r="AT95" s="450"/>
      <c r="AU95" s="450"/>
      <c r="AV95" s="451"/>
    </row>
    <row r="96" spans="1:48" ht="15.75" thickBot="1" x14ac:dyDescent="0.3">
      <c r="A96" s="682"/>
      <c r="B96" s="684"/>
      <c r="C96" s="438" t="s">
        <v>34</v>
      </c>
      <c r="D96" s="452">
        <f t="shared" si="35"/>
        <v>0</v>
      </c>
      <c r="E96" s="453">
        <f t="shared" si="39"/>
        <v>0</v>
      </c>
      <c r="F96" s="454">
        <f t="shared" si="25"/>
        <v>0</v>
      </c>
      <c r="G96" s="455">
        <f t="shared" si="40"/>
        <v>0</v>
      </c>
      <c r="H96" s="455">
        <f t="shared" si="40"/>
        <v>0</v>
      </c>
      <c r="I96" s="456">
        <f t="shared" si="36"/>
        <v>0</v>
      </c>
      <c r="J96" s="455">
        <f t="shared" si="41"/>
        <v>0</v>
      </c>
      <c r="K96" s="455">
        <f t="shared" si="41"/>
        <v>0</v>
      </c>
      <c r="L96" s="456">
        <f t="shared" si="37"/>
        <v>0</v>
      </c>
      <c r="M96" s="455">
        <f t="shared" si="42"/>
        <v>0</v>
      </c>
      <c r="N96" s="455">
        <f t="shared" si="42"/>
        <v>0</v>
      </c>
      <c r="O96" s="456">
        <f t="shared" si="38"/>
        <v>0</v>
      </c>
      <c r="P96" s="455"/>
      <c r="Q96" s="455"/>
      <c r="R96" s="456"/>
      <c r="S96" s="455"/>
      <c r="T96" s="455"/>
      <c r="U96" s="456"/>
      <c r="V96" s="455"/>
      <c r="W96" s="455"/>
      <c r="X96" s="456"/>
      <c r="Y96" s="455"/>
      <c r="Z96" s="455"/>
      <c r="AA96" s="456"/>
      <c r="AB96" s="455"/>
      <c r="AC96" s="455"/>
      <c r="AD96" s="456"/>
      <c r="AE96" s="455"/>
      <c r="AF96" s="455"/>
      <c r="AG96" s="456"/>
      <c r="AH96" s="455"/>
      <c r="AI96" s="455"/>
      <c r="AJ96" s="456"/>
      <c r="AK96" s="455"/>
      <c r="AL96" s="455"/>
      <c r="AM96" s="456"/>
      <c r="AN96" s="455"/>
      <c r="AO96" s="455"/>
      <c r="AP96" s="456"/>
      <c r="AQ96" s="455"/>
      <c r="AR96" s="455"/>
      <c r="AS96" s="456"/>
      <c r="AT96" s="455"/>
      <c r="AU96" s="455"/>
      <c r="AV96" s="456"/>
    </row>
    <row r="97" spans="1:48" ht="15" customHeight="1" x14ac:dyDescent="0.25">
      <c r="A97" s="685" t="s">
        <v>189</v>
      </c>
      <c r="B97" s="686" t="s">
        <v>13</v>
      </c>
      <c r="C97" s="430" t="s">
        <v>25</v>
      </c>
      <c r="D97" s="431">
        <f t="shared" si="35"/>
        <v>0</v>
      </c>
      <c r="E97" s="432">
        <f t="shared" si="39"/>
        <v>0</v>
      </c>
      <c r="F97" s="433">
        <f t="shared" si="25"/>
        <v>0</v>
      </c>
      <c r="G97" s="443">
        <v>0</v>
      </c>
      <c r="H97" s="443">
        <f>(G67+I67/2)*((G46-H46)*(1+$AW$46))*Faktory!$D$10</f>
        <v>0</v>
      </c>
      <c r="I97" s="384">
        <f>H97</f>
        <v>0</v>
      </c>
      <c r="J97" s="443">
        <v>0</v>
      </c>
      <c r="K97" s="443">
        <f>(J67+L67/2)*((J46-K46)*(1+$AW$46))*Faktory!$D$10</f>
        <v>0</v>
      </c>
      <c r="L97" s="384">
        <f>K97</f>
        <v>0</v>
      </c>
      <c r="M97" s="443">
        <v>0</v>
      </c>
      <c r="N97" s="443">
        <f>(M67+O67/2)*((M46-N46)*(1+$AW$46))*Faktory!$D$10</f>
        <v>0</v>
      </c>
      <c r="O97" s="384">
        <f>N97</f>
        <v>0</v>
      </c>
      <c r="P97" s="443"/>
      <c r="Q97" s="443"/>
      <c r="R97" s="384"/>
      <c r="S97" s="443"/>
      <c r="T97" s="443"/>
      <c r="U97" s="384"/>
      <c r="V97" s="443"/>
      <c r="W97" s="443"/>
      <c r="X97" s="384"/>
      <c r="Y97" s="443"/>
      <c r="Z97" s="443"/>
      <c r="AA97" s="384"/>
      <c r="AB97" s="443"/>
      <c r="AC97" s="443"/>
      <c r="AD97" s="384"/>
      <c r="AE97" s="443"/>
      <c r="AF97" s="443"/>
      <c r="AG97" s="384"/>
      <c r="AH97" s="443"/>
      <c r="AI97" s="443"/>
      <c r="AJ97" s="384"/>
      <c r="AK97" s="443"/>
      <c r="AL97" s="443"/>
      <c r="AM97" s="384"/>
      <c r="AN97" s="443"/>
      <c r="AO97" s="443"/>
      <c r="AP97" s="384"/>
      <c r="AQ97" s="443"/>
      <c r="AR97" s="443"/>
      <c r="AS97" s="384"/>
      <c r="AT97" s="443"/>
      <c r="AU97" s="443"/>
      <c r="AV97" s="384"/>
    </row>
    <row r="98" spans="1:48" x14ac:dyDescent="0.25">
      <c r="A98" s="681"/>
      <c r="B98" s="683"/>
      <c r="C98" s="430" t="s">
        <v>26</v>
      </c>
      <c r="D98" s="431">
        <f t="shared" si="35"/>
        <v>0</v>
      </c>
      <c r="E98" s="432">
        <f t="shared" si="39"/>
        <v>0</v>
      </c>
      <c r="F98" s="433">
        <f t="shared" si="25"/>
        <v>0</v>
      </c>
      <c r="G98" s="437">
        <v>0</v>
      </c>
      <c r="H98" s="437">
        <f>(G68+I68/2)*((G47-H47)*(1+$AW$46))*Faktory!$D$10</f>
        <v>0</v>
      </c>
      <c r="I98" s="393">
        <f t="shared" ref="I98:I106" si="43">H98</f>
        <v>0</v>
      </c>
      <c r="J98" s="437">
        <v>0</v>
      </c>
      <c r="K98" s="437">
        <f>(J68+L68/2)*((J47-K47)*(1+$AW$46))*Faktory!$D$10</f>
        <v>0</v>
      </c>
      <c r="L98" s="393">
        <f t="shared" ref="L98:L106" si="44">K98</f>
        <v>0</v>
      </c>
      <c r="M98" s="437">
        <v>0</v>
      </c>
      <c r="N98" s="437">
        <f>(M68+O68/2)*((M47-N47)*(1+$AW$46))*Faktory!$D$10</f>
        <v>0</v>
      </c>
      <c r="O98" s="393">
        <f t="shared" ref="O98:O106" si="45">N98</f>
        <v>0</v>
      </c>
      <c r="P98" s="437"/>
      <c r="Q98" s="437"/>
      <c r="R98" s="393"/>
      <c r="S98" s="437"/>
      <c r="T98" s="437"/>
      <c r="U98" s="393"/>
      <c r="V98" s="437"/>
      <c r="W98" s="437"/>
      <c r="X98" s="393"/>
      <c r="Y98" s="437"/>
      <c r="Z98" s="437"/>
      <c r="AA98" s="393"/>
      <c r="AB98" s="437"/>
      <c r="AC98" s="437"/>
      <c r="AD98" s="393"/>
      <c r="AE98" s="437"/>
      <c r="AF98" s="437"/>
      <c r="AG98" s="393"/>
      <c r="AH98" s="437"/>
      <c r="AI98" s="437"/>
      <c r="AJ98" s="393"/>
      <c r="AK98" s="437"/>
      <c r="AL98" s="437"/>
      <c r="AM98" s="393"/>
      <c r="AN98" s="437"/>
      <c r="AO98" s="437"/>
      <c r="AP98" s="393"/>
      <c r="AQ98" s="437"/>
      <c r="AR98" s="437"/>
      <c r="AS98" s="393"/>
      <c r="AT98" s="437"/>
      <c r="AU98" s="437"/>
      <c r="AV98" s="393"/>
    </row>
    <row r="99" spans="1:48" x14ac:dyDescent="0.25">
      <c r="A99" s="681"/>
      <c r="B99" s="683"/>
      <c r="C99" s="430" t="s">
        <v>27</v>
      </c>
      <c r="D99" s="431">
        <f t="shared" si="35"/>
        <v>0</v>
      </c>
      <c r="E99" s="432">
        <f t="shared" si="39"/>
        <v>0</v>
      </c>
      <c r="F99" s="433">
        <f t="shared" si="25"/>
        <v>0</v>
      </c>
      <c r="G99" s="437">
        <v>0</v>
      </c>
      <c r="H99" s="437">
        <f>(G69+I69/2)*((G48-H48)*(1+$AW$46))*Faktory!$D$10</f>
        <v>0</v>
      </c>
      <c r="I99" s="393">
        <f t="shared" si="43"/>
        <v>0</v>
      </c>
      <c r="J99" s="437">
        <v>0</v>
      </c>
      <c r="K99" s="437">
        <f>(J69+L69/2)*((J48-K48)*(1+$AW$46))*Faktory!$D$10</f>
        <v>0</v>
      </c>
      <c r="L99" s="393">
        <f t="shared" si="44"/>
        <v>0</v>
      </c>
      <c r="M99" s="437">
        <v>0</v>
      </c>
      <c r="N99" s="437">
        <f>(M69+O69/2)*((M48-N48)*(1+$AW$46))*Faktory!$D$10</f>
        <v>0</v>
      </c>
      <c r="O99" s="393">
        <f t="shared" si="45"/>
        <v>0</v>
      </c>
      <c r="P99" s="437"/>
      <c r="Q99" s="437"/>
      <c r="R99" s="393"/>
      <c r="S99" s="437"/>
      <c r="T99" s="437"/>
      <c r="U99" s="393"/>
      <c r="V99" s="437"/>
      <c r="W99" s="437"/>
      <c r="X99" s="393"/>
      <c r="Y99" s="437"/>
      <c r="Z99" s="437"/>
      <c r="AA99" s="393"/>
      <c r="AB99" s="437"/>
      <c r="AC99" s="437"/>
      <c r="AD99" s="393"/>
      <c r="AE99" s="437"/>
      <c r="AF99" s="437"/>
      <c r="AG99" s="393"/>
      <c r="AH99" s="437"/>
      <c r="AI99" s="437"/>
      <c r="AJ99" s="393"/>
      <c r="AK99" s="437"/>
      <c r="AL99" s="437"/>
      <c r="AM99" s="393"/>
      <c r="AN99" s="437"/>
      <c r="AO99" s="437"/>
      <c r="AP99" s="393"/>
      <c r="AQ99" s="437"/>
      <c r="AR99" s="437"/>
      <c r="AS99" s="393"/>
      <c r="AT99" s="437"/>
      <c r="AU99" s="437"/>
      <c r="AV99" s="393"/>
    </row>
    <row r="100" spans="1:48" x14ac:dyDescent="0.25">
      <c r="A100" s="681"/>
      <c r="B100" s="683"/>
      <c r="C100" s="430" t="s">
        <v>28</v>
      </c>
      <c r="D100" s="431">
        <f t="shared" si="35"/>
        <v>0</v>
      </c>
      <c r="E100" s="432">
        <f t="shared" si="39"/>
        <v>0</v>
      </c>
      <c r="F100" s="433">
        <f t="shared" si="25"/>
        <v>0</v>
      </c>
      <c r="G100" s="437">
        <v>0</v>
      </c>
      <c r="H100" s="437">
        <f>(G70+I70/2)*((G49-H49)*(1+$AW$46))*Faktory!$D$10</f>
        <v>0</v>
      </c>
      <c r="I100" s="393">
        <f t="shared" si="43"/>
        <v>0</v>
      </c>
      <c r="J100" s="437">
        <v>0</v>
      </c>
      <c r="K100" s="437">
        <f>(J70+L70/2)*((J49-K49)*(1+$AW$46))*Faktory!$D$10</f>
        <v>0</v>
      </c>
      <c r="L100" s="393">
        <f t="shared" si="44"/>
        <v>0</v>
      </c>
      <c r="M100" s="437">
        <v>0</v>
      </c>
      <c r="N100" s="437">
        <f>(M70+O70/2)*((M49-N49)*(1+$AW$46))*Faktory!$D$10</f>
        <v>0</v>
      </c>
      <c r="O100" s="393">
        <f t="shared" si="45"/>
        <v>0</v>
      </c>
      <c r="P100" s="437"/>
      <c r="Q100" s="437"/>
      <c r="R100" s="393"/>
      <c r="S100" s="437"/>
      <c r="T100" s="437"/>
      <c r="U100" s="393"/>
      <c r="V100" s="437"/>
      <c r="W100" s="437"/>
      <c r="X100" s="393"/>
      <c r="Y100" s="437"/>
      <c r="Z100" s="437"/>
      <c r="AA100" s="393"/>
      <c r="AB100" s="437"/>
      <c r="AC100" s="437"/>
      <c r="AD100" s="393"/>
      <c r="AE100" s="437"/>
      <c r="AF100" s="437"/>
      <c r="AG100" s="393"/>
      <c r="AH100" s="437"/>
      <c r="AI100" s="437"/>
      <c r="AJ100" s="393"/>
      <c r="AK100" s="437"/>
      <c r="AL100" s="437"/>
      <c r="AM100" s="393"/>
      <c r="AN100" s="437"/>
      <c r="AO100" s="437"/>
      <c r="AP100" s="393"/>
      <c r="AQ100" s="437"/>
      <c r="AR100" s="437"/>
      <c r="AS100" s="393"/>
      <c r="AT100" s="437"/>
      <c r="AU100" s="437"/>
      <c r="AV100" s="393"/>
    </row>
    <row r="101" spans="1:48" x14ac:dyDescent="0.25">
      <c r="A101" s="681"/>
      <c r="B101" s="683"/>
      <c r="C101" s="430" t="s">
        <v>29</v>
      </c>
      <c r="D101" s="431">
        <f t="shared" si="35"/>
        <v>0</v>
      </c>
      <c r="E101" s="432">
        <f t="shared" si="39"/>
        <v>0</v>
      </c>
      <c r="F101" s="433">
        <f t="shared" si="25"/>
        <v>0</v>
      </c>
      <c r="G101" s="437">
        <v>0</v>
      </c>
      <c r="H101" s="437">
        <f>(G71+I71/2)*((G50-H50)*(1+$AW$46))*Faktory!$D$10</f>
        <v>0</v>
      </c>
      <c r="I101" s="393">
        <f t="shared" si="43"/>
        <v>0</v>
      </c>
      <c r="J101" s="437">
        <v>0</v>
      </c>
      <c r="K101" s="437">
        <f>(J71+L71/2)*((J50-K50)*(1+$AW$46))*Faktory!$D$10</f>
        <v>0</v>
      </c>
      <c r="L101" s="393">
        <f t="shared" si="44"/>
        <v>0</v>
      </c>
      <c r="M101" s="437">
        <v>0</v>
      </c>
      <c r="N101" s="437">
        <f>(M71+O71/2)*((M50-N50)*(1+$AW$46))*Faktory!$D$10</f>
        <v>0</v>
      </c>
      <c r="O101" s="393">
        <f t="shared" si="45"/>
        <v>0</v>
      </c>
      <c r="P101" s="437"/>
      <c r="Q101" s="437"/>
      <c r="R101" s="393"/>
      <c r="S101" s="437"/>
      <c r="T101" s="437"/>
      <c r="U101" s="393"/>
      <c r="V101" s="437"/>
      <c r="W101" s="437"/>
      <c r="X101" s="393"/>
      <c r="Y101" s="437"/>
      <c r="Z101" s="437"/>
      <c r="AA101" s="393"/>
      <c r="AB101" s="437"/>
      <c r="AC101" s="437"/>
      <c r="AD101" s="393"/>
      <c r="AE101" s="437"/>
      <c r="AF101" s="437"/>
      <c r="AG101" s="393"/>
      <c r="AH101" s="437"/>
      <c r="AI101" s="437"/>
      <c r="AJ101" s="393"/>
      <c r="AK101" s="437"/>
      <c r="AL101" s="437"/>
      <c r="AM101" s="393"/>
      <c r="AN101" s="437"/>
      <c r="AO101" s="437"/>
      <c r="AP101" s="393"/>
      <c r="AQ101" s="437"/>
      <c r="AR101" s="437"/>
      <c r="AS101" s="393"/>
      <c r="AT101" s="437"/>
      <c r="AU101" s="437"/>
      <c r="AV101" s="393"/>
    </row>
    <row r="102" spans="1:48" x14ac:dyDescent="0.25">
      <c r="A102" s="681"/>
      <c r="B102" s="683"/>
      <c r="C102" s="430" t="s">
        <v>30</v>
      </c>
      <c r="D102" s="431">
        <f t="shared" si="35"/>
        <v>0</v>
      </c>
      <c r="E102" s="432">
        <f t="shared" si="39"/>
        <v>0</v>
      </c>
      <c r="F102" s="433">
        <f t="shared" si="25"/>
        <v>0</v>
      </c>
      <c r="G102" s="437">
        <v>0</v>
      </c>
      <c r="H102" s="437">
        <f>(G72+I72/2)*((G51-H51)*(1+$AW$46))*Faktory!$D$10</f>
        <v>0</v>
      </c>
      <c r="I102" s="393">
        <f t="shared" si="43"/>
        <v>0</v>
      </c>
      <c r="J102" s="437">
        <v>0</v>
      </c>
      <c r="K102" s="437">
        <f>(J72+L72/2)*((J51-K51)*(1+$AW$46))*Faktory!$D$10</f>
        <v>0</v>
      </c>
      <c r="L102" s="393">
        <f t="shared" si="44"/>
        <v>0</v>
      </c>
      <c r="M102" s="437">
        <v>0</v>
      </c>
      <c r="N102" s="437">
        <f>(M72+O72/2)*((M51-N51)*(1+$AW$46))*Faktory!$D$10</f>
        <v>0</v>
      </c>
      <c r="O102" s="393">
        <f t="shared" si="45"/>
        <v>0</v>
      </c>
      <c r="P102" s="437"/>
      <c r="Q102" s="437"/>
      <c r="R102" s="393"/>
      <c r="S102" s="437"/>
      <c r="T102" s="437"/>
      <c r="U102" s="393"/>
      <c r="V102" s="437"/>
      <c r="W102" s="437"/>
      <c r="X102" s="393"/>
      <c r="Y102" s="437"/>
      <c r="Z102" s="437"/>
      <c r="AA102" s="393"/>
      <c r="AB102" s="437"/>
      <c r="AC102" s="437"/>
      <c r="AD102" s="393"/>
      <c r="AE102" s="437"/>
      <c r="AF102" s="437"/>
      <c r="AG102" s="393"/>
      <c r="AH102" s="437"/>
      <c r="AI102" s="437"/>
      <c r="AJ102" s="393"/>
      <c r="AK102" s="437"/>
      <c r="AL102" s="437"/>
      <c r="AM102" s="393"/>
      <c r="AN102" s="437"/>
      <c r="AO102" s="437"/>
      <c r="AP102" s="393"/>
      <c r="AQ102" s="437"/>
      <c r="AR102" s="437"/>
      <c r="AS102" s="393"/>
      <c r="AT102" s="437"/>
      <c r="AU102" s="437"/>
      <c r="AV102" s="393"/>
    </row>
    <row r="103" spans="1:48" x14ac:dyDescent="0.25">
      <c r="A103" s="681"/>
      <c r="B103" s="683"/>
      <c r="C103" s="430" t="s">
        <v>31</v>
      </c>
      <c r="D103" s="431">
        <f t="shared" si="35"/>
        <v>0</v>
      </c>
      <c r="E103" s="432">
        <f t="shared" si="39"/>
        <v>0</v>
      </c>
      <c r="F103" s="433">
        <f t="shared" si="25"/>
        <v>0</v>
      </c>
      <c r="G103" s="437">
        <v>0</v>
      </c>
      <c r="H103" s="437">
        <f>(G73+I73/2)*((G52-H52)*(1+$AW$46))*Faktory!$D$10</f>
        <v>0</v>
      </c>
      <c r="I103" s="393">
        <f t="shared" si="43"/>
        <v>0</v>
      </c>
      <c r="J103" s="437">
        <v>0</v>
      </c>
      <c r="K103" s="437">
        <f>(J73+L73/2)*((J52-K52)*(1+$AW$46))*Faktory!$D$10</f>
        <v>0</v>
      </c>
      <c r="L103" s="393">
        <f t="shared" si="44"/>
        <v>0</v>
      </c>
      <c r="M103" s="437">
        <v>0</v>
      </c>
      <c r="N103" s="437">
        <f>(M73+O73/2)*((M52-N52)*(1+$AW$46))*Faktory!$D$10</f>
        <v>0</v>
      </c>
      <c r="O103" s="393">
        <f t="shared" si="45"/>
        <v>0</v>
      </c>
      <c r="P103" s="437"/>
      <c r="Q103" s="437"/>
      <c r="R103" s="393"/>
      <c r="S103" s="437"/>
      <c r="T103" s="437"/>
      <c r="U103" s="393"/>
      <c r="V103" s="437"/>
      <c r="W103" s="437"/>
      <c r="X103" s="393"/>
      <c r="Y103" s="437"/>
      <c r="Z103" s="437"/>
      <c r="AA103" s="393"/>
      <c r="AB103" s="437"/>
      <c r="AC103" s="437"/>
      <c r="AD103" s="393"/>
      <c r="AE103" s="437"/>
      <c r="AF103" s="437"/>
      <c r="AG103" s="393"/>
      <c r="AH103" s="437"/>
      <c r="AI103" s="437"/>
      <c r="AJ103" s="393"/>
      <c r="AK103" s="437"/>
      <c r="AL103" s="437"/>
      <c r="AM103" s="393"/>
      <c r="AN103" s="437"/>
      <c r="AO103" s="437"/>
      <c r="AP103" s="393"/>
      <c r="AQ103" s="437"/>
      <c r="AR103" s="437"/>
      <c r="AS103" s="393"/>
      <c r="AT103" s="437"/>
      <c r="AU103" s="437"/>
      <c r="AV103" s="393"/>
    </row>
    <row r="104" spans="1:48" x14ac:dyDescent="0.25">
      <c r="A104" s="681"/>
      <c r="B104" s="683"/>
      <c r="C104" s="430" t="s">
        <v>32</v>
      </c>
      <c r="D104" s="431">
        <f t="shared" si="35"/>
        <v>0</v>
      </c>
      <c r="E104" s="432">
        <f t="shared" si="39"/>
        <v>0</v>
      </c>
      <c r="F104" s="433">
        <f t="shared" si="25"/>
        <v>0</v>
      </c>
      <c r="G104" s="437">
        <v>0</v>
      </c>
      <c r="H104" s="437">
        <f>(G74+I74/2)*((G53-H53)*(1+$AW$46))*Faktory!$D$10</f>
        <v>0</v>
      </c>
      <c r="I104" s="393">
        <f t="shared" si="43"/>
        <v>0</v>
      </c>
      <c r="J104" s="437">
        <v>0</v>
      </c>
      <c r="K104" s="437">
        <f>(J74+L74/2)*((J53-K53)*(1+$AW$46))*Faktory!$D$10</f>
        <v>0</v>
      </c>
      <c r="L104" s="393">
        <f t="shared" si="44"/>
        <v>0</v>
      </c>
      <c r="M104" s="437">
        <v>0</v>
      </c>
      <c r="N104" s="437">
        <f>(M74+O74/2)*((M53-N53)*(1+$AW$46))*Faktory!$D$10</f>
        <v>0</v>
      </c>
      <c r="O104" s="393">
        <f t="shared" si="45"/>
        <v>0</v>
      </c>
      <c r="P104" s="437"/>
      <c r="Q104" s="437"/>
      <c r="R104" s="393"/>
      <c r="S104" s="437"/>
      <c r="T104" s="437"/>
      <c r="U104" s="393"/>
      <c r="V104" s="437"/>
      <c r="W104" s="437"/>
      <c r="X104" s="393"/>
      <c r="Y104" s="437"/>
      <c r="Z104" s="437"/>
      <c r="AA104" s="393"/>
      <c r="AB104" s="437"/>
      <c r="AC104" s="437"/>
      <c r="AD104" s="393"/>
      <c r="AE104" s="437"/>
      <c r="AF104" s="437"/>
      <c r="AG104" s="393"/>
      <c r="AH104" s="437"/>
      <c r="AI104" s="437"/>
      <c r="AJ104" s="393"/>
      <c r="AK104" s="437"/>
      <c r="AL104" s="437"/>
      <c r="AM104" s="393"/>
      <c r="AN104" s="437"/>
      <c r="AO104" s="437"/>
      <c r="AP104" s="393"/>
      <c r="AQ104" s="437"/>
      <c r="AR104" s="437"/>
      <c r="AS104" s="393"/>
      <c r="AT104" s="437"/>
      <c r="AU104" s="437"/>
      <c r="AV104" s="393"/>
    </row>
    <row r="105" spans="1:48" x14ac:dyDescent="0.25">
      <c r="A105" s="681"/>
      <c r="B105" s="683"/>
      <c r="C105" s="430" t="s">
        <v>33</v>
      </c>
      <c r="D105" s="431">
        <f t="shared" si="35"/>
        <v>0</v>
      </c>
      <c r="E105" s="432">
        <f t="shared" si="39"/>
        <v>0</v>
      </c>
      <c r="F105" s="433">
        <f t="shared" si="25"/>
        <v>0</v>
      </c>
      <c r="G105" s="437">
        <v>0</v>
      </c>
      <c r="H105" s="437">
        <f>(G75+I75/2)*((G54-H54)*(1+$AW$46))*Faktory!$D$10</f>
        <v>0</v>
      </c>
      <c r="I105" s="393">
        <f t="shared" si="43"/>
        <v>0</v>
      </c>
      <c r="J105" s="437">
        <v>0</v>
      </c>
      <c r="K105" s="437">
        <f>(J75+L75/2)*((J54-K54)*(1+$AW$46))*Faktory!$D$10</f>
        <v>0</v>
      </c>
      <c r="L105" s="393">
        <f t="shared" si="44"/>
        <v>0</v>
      </c>
      <c r="M105" s="437">
        <v>0</v>
      </c>
      <c r="N105" s="437">
        <f>(M75+O75/2)*((M54-N54)*(1+$AW$46))*Faktory!$D$10</f>
        <v>0</v>
      </c>
      <c r="O105" s="393">
        <f t="shared" si="45"/>
        <v>0</v>
      </c>
      <c r="P105" s="437"/>
      <c r="Q105" s="437"/>
      <c r="R105" s="393"/>
      <c r="S105" s="437"/>
      <c r="T105" s="437"/>
      <c r="U105" s="393"/>
      <c r="V105" s="437"/>
      <c r="W105" s="437"/>
      <c r="X105" s="393"/>
      <c r="Y105" s="437"/>
      <c r="Z105" s="437"/>
      <c r="AA105" s="393"/>
      <c r="AB105" s="437"/>
      <c r="AC105" s="437"/>
      <c r="AD105" s="393"/>
      <c r="AE105" s="437"/>
      <c r="AF105" s="437"/>
      <c r="AG105" s="393"/>
      <c r="AH105" s="437"/>
      <c r="AI105" s="437"/>
      <c r="AJ105" s="393"/>
      <c r="AK105" s="437"/>
      <c r="AL105" s="437"/>
      <c r="AM105" s="393"/>
      <c r="AN105" s="437"/>
      <c r="AO105" s="437"/>
      <c r="AP105" s="393"/>
      <c r="AQ105" s="437"/>
      <c r="AR105" s="437"/>
      <c r="AS105" s="393"/>
      <c r="AT105" s="437"/>
      <c r="AU105" s="437"/>
      <c r="AV105" s="393"/>
    </row>
    <row r="106" spans="1:48" ht="15.75" thickBot="1" x14ac:dyDescent="0.3">
      <c r="A106" s="682"/>
      <c r="B106" s="684"/>
      <c r="C106" s="438" t="s">
        <v>34</v>
      </c>
      <c r="D106" s="439">
        <f t="shared" si="35"/>
        <v>0</v>
      </c>
      <c r="E106" s="440">
        <f t="shared" si="39"/>
        <v>0</v>
      </c>
      <c r="F106" s="441">
        <f t="shared" si="25"/>
        <v>0</v>
      </c>
      <c r="G106" s="442">
        <v>0</v>
      </c>
      <c r="H106" s="442">
        <f>(G76+I76/2)*((G55-H55)*(1+$AW$46))*Faktory!$D$10</f>
        <v>0</v>
      </c>
      <c r="I106" s="399">
        <f t="shared" si="43"/>
        <v>0</v>
      </c>
      <c r="J106" s="442">
        <v>0</v>
      </c>
      <c r="K106" s="442">
        <f>(J76+L76/2)*((J55-K55)*(1+$AW$46))*Faktory!$D$10</f>
        <v>0</v>
      </c>
      <c r="L106" s="399">
        <f t="shared" si="44"/>
        <v>0</v>
      </c>
      <c r="M106" s="442">
        <v>0</v>
      </c>
      <c r="N106" s="442">
        <f>(M76+O76/2)*((M55-N55)*(1+$AW$46))*Faktory!$D$10</f>
        <v>0</v>
      </c>
      <c r="O106" s="399">
        <f t="shared" si="45"/>
        <v>0</v>
      </c>
      <c r="P106" s="442"/>
      <c r="Q106" s="442"/>
      <c r="R106" s="399"/>
      <c r="S106" s="442"/>
      <c r="T106" s="442"/>
      <c r="U106" s="399"/>
      <c r="V106" s="442"/>
      <c r="W106" s="442"/>
      <c r="X106" s="399"/>
      <c r="Y106" s="442"/>
      <c r="Z106" s="442"/>
      <c r="AA106" s="399"/>
      <c r="AB106" s="442"/>
      <c r="AC106" s="442"/>
      <c r="AD106" s="399"/>
      <c r="AE106" s="442"/>
      <c r="AF106" s="442"/>
      <c r="AG106" s="399"/>
      <c r="AH106" s="442"/>
      <c r="AI106" s="442"/>
      <c r="AJ106" s="399"/>
      <c r="AK106" s="442"/>
      <c r="AL106" s="442"/>
      <c r="AM106" s="399"/>
      <c r="AN106" s="442"/>
      <c r="AO106" s="442"/>
      <c r="AP106" s="399"/>
      <c r="AQ106" s="442"/>
      <c r="AR106" s="442"/>
      <c r="AS106" s="399"/>
      <c r="AT106" s="442"/>
      <c r="AU106" s="442"/>
      <c r="AV106" s="399"/>
    </row>
    <row r="107" spans="1:48" x14ac:dyDescent="0.25">
      <c r="A107" s="685" t="s">
        <v>192</v>
      </c>
      <c r="B107" s="686" t="s">
        <v>13</v>
      </c>
      <c r="C107" s="430" t="s">
        <v>25</v>
      </c>
      <c r="D107" s="431">
        <f t="shared" si="35"/>
        <v>0</v>
      </c>
      <c r="E107" s="432">
        <f t="shared" si="39"/>
        <v>0</v>
      </c>
      <c r="F107" s="433">
        <f t="shared" si="25"/>
        <v>0</v>
      </c>
      <c r="G107" s="443">
        <f t="shared" ref="G107:H116" si="46">G6*G16</f>
        <v>0</v>
      </c>
      <c r="H107" s="443">
        <f t="shared" si="46"/>
        <v>0</v>
      </c>
      <c r="I107" s="384">
        <f t="shared" ref="I107:I116" si="47">H107-G107</f>
        <v>0</v>
      </c>
      <c r="J107" s="443">
        <f t="shared" ref="J107:K116" si="48">J6*J16</f>
        <v>0</v>
      </c>
      <c r="K107" s="443">
        <f t="shared" si="48"/>
        <v>0</v>
      </c>
      <c r="L107" s="384">
        <f t="shared" ref="L107:L116" si="49">K107-J107</f>
        <v>0</v>
      </c>
      <c r="M107" s="443">
        <f t="shared" ref="M107:N116" si="50">M6*M16</f>
        <v>0</v>
      </c>
      <c r="N107" s="443">
        <f t="shared" si="50"/>
        <v>0</v>
      </c>
      <c r="O107" s="384">
        <f t="shared" ref="O107:O116" si="51">N107-M107</f>
        <v>0</v>
      </c>
      <c r="P107" s="443"/>
      <c r="Q107" s="443"/>
      <c r="R107" s="384"/>
      <c r="S107" s="443"/>
      <c r="T107" s="443"/>
      <c r="U107" s="384"/>
      <c r="V107" s="443"/>
      <c r="W107" s="443"/>
      <c r="X107" s="384"/>
      <c r="Y107" s="443"/>
      <c r="Z107" s="443"/>
      <c r="AA107" s="384"/>
      <c r="AB107" s="443"/>
      <c r="AC107" s="443"/>
      <c r="AD107" s="384"/>
      <c r="AE107" s="443"/>
      <c r="AF107" s="443"/>
      <c r="AG107" s="384"/>
      <c r="AH107" s="443"/>
      <c r="AI107" s="443"/>
      <c r="AJ107" s="384"/>
      <c r="AK107" s="443"/>
      <c r="AL107" s="443"/>
      <c r="AM107" s="384"/>
      <c r="AN107" s="443"/>
      <c r="AO107" s="443"/>
      <c r="AP107" s="384"/>
      <c r="AQ107" s="443"/>
      <c r="AR107" s="443"/>
      <c r="AS107" s="384"/>
      <c r="AT107" s="443"/>
      <c r="AU107" s="443"/>
      <c r="AV107" s="384"/>
    </row>
    <row r="108" spans="1:48" x14ac:dyDescent="0.25">
      <c r="A108" s="681"/>
      <c r="B108" s="683"/>
      <c r="C108" s="430" t="s">
        <v>26</v>
      </c>
      <c r="D108" s="431">
        <f t="shared" si="35"/>
        <v>0</v>
      </c>
      <c r="E108" s="432">
        <f t="shared" si="39"/>
        <v>0</v>
      </c>
      <c r="F108" s="433">
        <f t="shared" si="25"/>
        <v>0</v>
      </c>
      <c r="G108" s="437">
        <f t="shared" si="46"/>
        <v>0</v>
      </c>
      <c r="H108" s="437">
        <f t="shared" si="46"/>
        <v>0</v>
      </c>
      <c r="I108" s="393">
        <f t="shared" si="47"/>
        <v>0</v>
      </c>
      <c r="J108" s="437">
        <f t="shared" si="48"/>
        <v>0</v>
      </c>
      <c r="K108" s="437">
        <f t="shared" si="48"/>
        <v>0</v>
      </c>
      <c r="L108" s="393">
        <f t="shared" si="49"/>
        <v>0</v>
      </c>
      <c r="M108" s="437">
        <f t="shared" si="50"/>
        <v>0</v>
      </c>
      <c r="N108" s="437">
        <f t="shared" si="50"/>
        <v>0</v>
      </c>
      <c r="O108" s="393">
        <f t="shared" si="51"/>
        <v>0</v>
      </c>
      <c r="P108" s="437"/>
      <c r="Q108" s="437"/>
      <c r="R108" s="393"/>
      <c r="S108" s="437"/>
      <c r="T108" s="437"/>
      <c r="U108" s="393"/>
      <c r="V108" s="437"/>
      <c r="W108" s="437"/>
      <c r="X108" s="393"/>
      <c r="Y108" s="437"/>
      <c r="Z108" s="437"/>
      <c r="AA108" s="393"/>
      <c r="AB108" s="437"/>
      <c r="AC108" s="437"/>
      <c r="AD108" s="393"/>
      <c r="AE108" s="437"/>
      <c r="AF108" s="437"/>
      <c r="AG108" s="393"/>
      <c r="AH108" s="437"/>
      <c r="AI108" s="437"/>
      <c r="AJ108" s="393"/>
      <c r="AK108" s="437"/>
      <c r="AL108" s="437"/>
      <c r="AM108" s="393"/>
      <c r="AN108" s="437"/>
      <c r="AO108" s="437"/>
      <c r="AP108" s="393"/>
      <c r="AQ108" s="437"/>
      <c r="AR108" s="437"/>
      <c r="AS108" s="393"/>
      <c r="AT108" s="437"/>
      <c r="AU108" s="437"/>
      <c r="AV108" s="393"/>
    </row>
    <row r="109" spans="1:48" x14ac:dyDescent="0.25">
      <c r="A109" s="681"/>
      <c r="B109" s="683"/>
      <c r="C109" s="430" t="s">
        <v>27</v>
      </c>
      <c r="D109" s="431">
        <f t="shared" si="35"/>
        <v>0</v>
      </c>
      <c r="E109" s="432">
        <f t="shared" si="39"/>
        <v>0</v>
      </c>
      <c r="F109" s="433">
        <f t="shared" si="25"/>
        <v>0</v>
      </c>
      <c r="G109" s="437">
        <f t="shared" si="46"/>
        <v>0</v>
      </c>
      <c r="H109" s="437">
        <f t="shared" si="46"/>
        <v>0</v>
      </c>
      <c r="I109" s="393">
        <f t="shared" si="47"/>
        <v>0</v>
      </c>
      <c r="J109" s="437">
        <f t="shared" si="48"/>
        <v>0</v>
      </c>
      <c r="K109" s="437">
        <f t="shared" si="48"/>
        <v>0</v>
      </c>
      <c r="L109" s="393">
        <f t="shared" si="49"/>
        <v>0</v>
      </c>
      <c r="M109" s="437">
        <f t="shared" si="50"/>
        <v>0</v>
      </c>
      <c r="N109" s="437">
        <f t="shared" si="50"/>
        <v>0</v>
      </c>
      <c r="O109" s="393">
        <f t="shared" si="51"/>
        <v>0</v>
      </c>
      <c r="P109" s="437"/>
      <c r="Q109" s="437"/>
      <c r="R109" s="393"/>
      <c r="S109" s="437"/>
      <c r="T109" s="437"/>
      <c r="U109" s="393"/>
      <c r="V109" s="437"/>
      <c r="W109" s="437"/>
      <c r="X109" s="393"/>
      <c r="Y109" s="437"/>
      <c r="Z109" s="437"/>
      <c r="AA109" s="393"/>
      <c r="AB109" s="437"/>
      <c r="AC109" s="437"/>
      <c r="AD109" s="393"/>
      <c r="AE109" s="437"/>
      <c r="AF109" s="437"/>
      <c r="AG109" s="393"/>
      <c r="AH109" s="437"/>
      <c r="AI109" s="437"/>
      <c r="AJ109" s="393"/>
      <c r="AK109" s="437"/>
      <c r="AL109" s="437"/>
      <c r="AM109" s="393"/>
      <c r="AN109" s="437"/>
      <c r="AO109" s="437"/>
      <c r="AP109" s="393"/>
      <c r="AQ109" s="437"/>
      <c r="AR109" s="437"/>
      <c r="AS109" s="393"/>
      <c r="AT109" s="437"/>
      <c r="AU109" s="437"/>
      <c r="AV109" s="393"/>
    </row>
    <row r="110" spans="1:48" x14ac:dyDescent="0.25">
      <c r="A110" s="681"/>
      <c r="B110" s="683"/>
      <c r="C110" s="430" t="s">
        <v>28</v>
      </c>
      <c r="D110" s="431">
        <f t="shared" si="35"/>
        <v>0</v>
      </c>
      <c r="E110" s="432">
        <f t="shared" si="39"/>
        <v>0</v>
      </c>
      <c r="F110" s="433">
        <f t="shared" si="25"/>
        <v>0</v>
      </c>
      <c r="G110" s="437">
        <f t="shared" si="46"/>
        <v>0</v>
      </c>
      <c r="H110" s="437">
        <f t="shared" si="46"/>
        <v>0</v>
      </c>
      <c r="I110" s="393">
        <f t="shared" si="47"/>
        <v>0</v>
      </c>
      <c r="J110" s="437">
        <f t="shared" si="48"/>
        <v>0</v>
      </c>
      <c r="K110" s="437">
        <f t="shared" si="48"/>
        <v>0</v>
      </c>
      <c r="L110" s="393">
        <f t="shared" si="49"/>
        <v>0</v>
      </c>
      <c r="M110" s="437">
        <f t="shared" si="50"/>
        <v>0</v>
      </c>
      <c r="N110" s="437">
        <f t="shared" si="50"/>
        <v>0</v>
      </c>
      <c r="O110" s="393">
        <f t="shared" si="51"/>
        <v>0</v>
      </c>
      <c r="P110" s="437"/>
      <c r="Q110" s="437"/>
      <c r="R110" s="393"/>
      <c r="S110" s="437"/>
      <c r="T110" s="437"/>
      <c r="U110" s="393"/>
      <c r="V110" s="437"/>
      <c r="W110" s="437"/>
      <c r="X110" s="393"/>
      <c r="Y110" s="437"/>
      <c r="Z110" s="437"/>
      <c r="AA110" s="393"/>
      <c r="AB110" s="437"/>
      <c r="AC110" s="437"/>
      <c r="AD110" s="393"/>
      <c r="AE110" s="437"/>
      <c r="AF110" s="437"/>
      <c r="AG110" s="393"/>
      <c r="AH110" s="437"/>
      <c r="AI110" s="437"/>
      <c r="AJ110" s="393"/>
      <c r="AK110" s="437"/>
      <c r="AL110" s="437"/>
      <c r="AM110" s="393"/>
      <c r="AN110" s="437"/>
      <c r="AO110" s="437"/>
      <c r="AP110" s="393"/>
      <c r="AQ110" s="437"/>
      <c r="AR110" s="437"/>
      <c r="AS110" s="393"/>
      <c r="AT110" s="437"/>
      <c r="AU110" s="437"/>
      <c r="AV110" s="393"/>
    </row>
    <row r="111" spans="1:48" x14ac:dyDescent="0.25">
      <c r="A111" s="681"/>
      <c r="B111" s="683"/>
      <c r="C111" s="430" t="s">
        <v>29</v>
      </c>
      <c r="D111" s="431">
        <f t="shared" si="35"/>
        <v>0</v>
      </c>
      <c r="E111" s="432">
        <f t="shared" si="39"/>
        <v>0</v>
      </c>
      <c r="F111" s="433">
        <f t="shared" si="25"/>
        <v>0</v>
      </c>
      <c r="G111" s="437">
        <f t="shared" si="46"/>
        <v>0</v>
      </c>
      <c r="H111" s="437">
        <f t="shared" si="46"/>
        <v>0</v>
      </c>
      <c r="I111" s="393">
        <f t="shared" si="47"/>
        <v>0</v>
      </c>
      <c r="J111" s="437">
        <f t="shared" si="48"/>
        <v>0</v>
      </c>
      <c r="K111" s="437">
        <f t="shared" si="48"/>
        <v>0</v>
      </c>
      <c r="L111" s="393">
        <f t="shared" si="49"/>
        <v>0</v>
      </c>
      <c r="M111" s="437">
        <f t="shared" si="50"/>
        <v>0</v>
      </c>
      <c r="N111" s="437">
        <f t="shared" si="50"/>
        <v>0</v>
      </c>
      <c r="O111" s="393">
        <f t="shared" si="51"/>
        <v>0</v>
      </c>
      <c r="P111" s="437"/>
      <c r="Q111" s="437"/>
      <c r="R111" s="393"/>
      <c r="S111" s="437"/>
      <c r="T111" s="437"/>
      <c r="U111" s="393"/>
      <c r="V111" s="437"/>
      <c r="W111" s="437"/>
      <c r="X111" s="393"/>
      <c r="Y111" s="437"/>
      <c r="Z111" s="437"/>
      <c r="AA111" s="393"/>
      <c r="AB111" s="437"/>
      <c r="AC111" s="437"/>
      <c r="AD111" s="393"/>
      <c r="AE111" s="437"/>
      <c r="AF111" s="437"/>
      <c r="AG111" s="393"/>
      <c r="AH111" s="437"/>
      <c r="AI111" s="437"/>
      <c r="AJ111" s="393"/>
      <c r="AK111" s="437"/>
      <c r="AL111" s="437"/>
      <c r="AM111" s="393"/>
      <c r="AN111" s="437"/>
      <c r="AO111" s="437"/>
      <c r="AP111" s="393"/>
      <c r="AQ111" s="437"/>
      <c r="AR111" s="437"/>
      <c r="AS111" s="393"/>
      <c r="AT111" s="437"/>
      <c r="AU111" s="437"/>
      <c r="AV111" s="393"/>
    </row>
    <row r="112" spans="1:48" x14ac:dyDescent="0.25">
      <c r="A112" s="681"/>
      <c r="B112" s="683"/>
      <c r="C112" s="430" t="s">
        <v>30</v>
      </c>
      <c r="D112" s="431">
        <f t="shared" si="35"/>
        <v>0</v>
      </c>
      <c r="E112" s="432">
        <f t="shared" si="39"/>
        <v>0</v>
      </c>
      <c r="F112" s="433">
        <f t="shared" si="25"/>
        <v>0</v>
      </c>
      <c r="G112" s="437">
        <f t="shared" si="46"/>
        <v>0</v>
      </c>
      <c r="H112" s="437">
        <f t="shared" si="46"/>
        <v>0</v>
      </c>
      <c r="I112" s="393">
        <f t="shared" si="47"/>
        <v>0</v>
      </c>
      <c r="J112" s="437">
        <f t="shared" si="48"/>
        <v>0</v>
      </c>
      <c r="K112" s="437">
        <f t="shared" si="48"/>
        <v>0</v>
      </c>
      <c r="L112" s="393">
        <f t="shared" si="49"/>
        <v>0</v>
      </c>
      <c r="M112" s="437">
        <f t="shared" si="50"/>
        <v>0</v>
      </c>
      <c r="N112" s="437">
        <f t="shared" si="50"/>
        <v>0</v>
      </c>
      <c r="O112" s="393">
        <f t="shared" si="51"/>
        <v>0</v>
      </c>
      <c r="P112" s="437"/>
      <c r="Q112" s="437"/>
      <c r="R112" s="393"/>
      <c r="S112" s="437"/>
      <c r="T112" s="437"/>
      <c r="U112" s="393"/>
      <c r="V112" s="437"/>
      <c r="W112" s="437"/>
      <c r="X112" s="393"/>
      <c r="Y112" s="437"/>
      <c r="Z112" s="437"/>
      <c r="AA112" s="393"/>
      <c r="AB112" s="437"/>
      <c r="AC112" s="437"/>
      <c r="AD112" s="393"/>
      <c r="AE112" s="437"/>
      <c r="AF112" s="437"/>
      <c r="AG112" s="393"/>
      <c r="AH112" s="437"/>
      <c r="AI112" s="437"/>
      <c r="AJ112" s="393"/>
      <c r="AK112" s="437"/>
      <c r="AL112" s="437"/>
      <c r="AM112" s="393"/>
      <c r="AN112" s="437"/>
      <c r="AO112" s="437"/>
      <c r="AP112" s="393"/>
      <c r="AQ112" s="437"/>
      <c r="AR112" s="437"/>
      <c r="AS112" s="393"/>
      <c r="AT112" s="437"/>
      <c r="AU112" s="437"/>
      <c r="AV112" s="393"/>
    </row>
    <row r="113" spans="1:49" x14ac:dyDescent="0.25">
      <c r="A113" s="681"/>
      <c r="B113" s="683"/>
      <c r="C113" s="430" t="s">
        <v>31</v>
      </c>
      <c r="D113" s="431">
        <f t="shared" si="35"/>
        <v>0</v>
      </c>
      <c r="E113" s="432">
        <f t="shared" si="39"/>
        <v>0</v>
      </c>
      <c r="F113" s="433">
        <f t="shared" si="25"/>
        <v>0</v>
      </c>
      <c r="G113" s="437">
        <f t="shared" si="46"/>
        <v>0</v>
      </c>
      <c r="H113" s="437">
        <f t="shared" si="46"/>
        <v>0</v>
      </c>
      <c r="I113" s="393">
        <f t="shared" si="47"/>
        <v>0</v>
      </c>
      <c r="J113" s="437">
        <f t="shared" si="48"/>
        <v>0</v>
      </c>
      <c r="K113" s="437">
        <f t="shared" si="48"/>
        <v>0</v>
      </c>
      <c r="L113" s="393">
        <f t="shared" si="49"/>
        <v>0</v>
      </c>
      <c r="M113" s="437">
        <f t="shared" si="50"/>
        <v>0</v>
      </c>
      <c r="N113" s="437">
        <f t="shared" si="50"/>
        <v>0</v>
      </c>
      <c r="O113" s="393">
        <f t="shared" si="51"/>
        <v>0</v>
      </c>
      <c r="P113" s="437"/>
      <c r="Q113" s="437"/>
      <c r="R113" s="393"/>
      <c r="S113" s="437"/>
      <c r="T113" s="437"/>
      <c r="U113" s="393"/>
      <c r="V113" s="437"/>
      <c r="W113" s="437"/>
      <c r="X113" s="393"/>
      <c r="Y113" s="437"/>
      <c r="Z113" s="437"/>
      <c r="AA113" s="393"/>
      <c r="AB113" s="437"/>
      <c r="AC113" s="437"/>
      <c r="AD113" s="393"/>
      <c r="AE113" s="437"/>
      <c r="AF113" s="437"/>
      <c r="AG113" s="393"/>
      <c r="AH113" s="437"/>
      <c r="AI113" s="437"/>
      <c r="AJ113" s="393"/>
      <c r="AK113" s="437"/>
      <c r="AL113" s="437"/>
      <c r="AM113" s="393"/>
      <c r="AN113" s="437"/>
      <c r="AO113" s="437"/>
      <c r="AP113" s="393"/>
      <c r="AQ113" s="437"/>
      <c r="AR113" s="437"/>
      <c r="AS113" s="393"/>
      <c r="AT113" s="437"/>
      <c r="AU113" s="437"/>
      <c r="AV113" s="393"/>
    </row>
    <row r="114" spans="1:49" x14ac:dyDescent="0.25">
      <c r="A114" s="681"/>
      <c r="B114" s="683"/>
      <c r="C114" s="430" t="s">
        <v>32</v>
      </c>
      <c r="D114" s="431">
        <f t="shared" si="35"/>
        <v>0</v>
      </c>
      <c r="E114" s="432">
        <f t="shared" si="39"/>
        <v>0</v>
      </c>
      <c r="F114" s="433">
        <f t="shared" si="25"/>
        <v>0</v>
      </c>
      <c r="G114" s="437">
        <f t="shared" si="46"/>
        <v>0</v>
      </c>
      <c r="H114" s="437">
        <f t="shared" si="46"/>
        <v>0</v>
      </c>
      <c r="I114" s="393">
        <f t="shared" si="47"/>
        <v>0</v>
      </c>
      <c r="J114" s="437">
        <f t="shared" si="48"/>
        <v>0</v>
      </c>
      <c r="K114" s="437">
        <f t="shared" si="48"/>
        <v>0</v>
      </c>
      <c r="L114" s="393">
        <f t="shared" si="49"/>
        <v>0</v>
      </c>
      <c r="M114" s="437">
        <f t="shared" si="50"/>
        <v>0</v>
      </c>
      <c r="N114" s="437">
        <f t="shared" si="50"/>
        <v>0</v>
      </c>
      <c r="O114" s="393">
        <f t="shared" si="51"/>
        <v>0</v>
      </c>
      <c r="P114" s="437"/>
      <c r="Q114" s="437"/>
      <c r="R114" s="393"/>
      <c r="S114" s="437"/>
      <c r="T114" s="437"/>
      <c r="U114" s="393"/>
      <c r="V114" s="437"/>
      <c r="W114" s="437"/>
      <c r="X114" s="393"/>
      <c r="Y114" s="437"/>
      <c r="Z114" s="437"/>
      <c r="AA114" s="393"/>
      <c r="AB114" s="437"/>
      <c r="AC114" s="437"/>
      <c r="AD114" s="393"/>
      <c r="AE114" s="437"/>
      <c r="AF114" s="437"/>
      <c r="AG114" s="393"/>
      <c r="AH114" s="437"/>
      <c r="AI114" s="437"/>
      <c r="AJ114" s="393"/>
      <c r="AK114" s="437"/>
      <c r="AL114" s="437"/>
      <c r="AM114" s="393"/>
      <c r="AN114" s="437"/>
      <c r="AO114" s="437"/>
      <c r="AP114" s="393"/>
      <c r="AQ114" s="437"/>
      <c r="AR114" s="437"/>
      <c r="AS114" s="393"/>
      <c r="AT114" s="437"/>
      <c r="AU114" s="437"/>
      <c r="AV114" s="393"/>
    </row>
    <row r="115" spans="1:49" x14ac:dyDescent="0.25">
      <c r="A115" s="681"/>
      <c r="B115" s="683"/>
      <c r="C115" s="430" t="s">
        <v>33</v>
      </c>
      <c r="D115" s="431">
        <f t="shared" si="35"/>
        <v>0</v>
      </c>
      <c r="E115" s="432">
        <f t="shared" si="39"/>
        <v>0</v>
      </c>
      <c r="F115" s="433">
        <f t="shared" si="25"/>
        <v>0</v>
      </c>
      <c r="G115" s="437">
        <f t="shared" si="46"/>
        <v>0</v>
      </c>
      <c r="H115" s="437">
        <f t="shared" si="46"/>
        <v>0</v>
      </c>
      <c r="I115" s="393">
        <f t="shared" si="47"/>
        <v>0</v>
      </c>
      <c r="J115" s="437">
        <f t="shared" si="48"/>
        <v>0</v>
      </c>
      <c r="K115" s="437">
        <f t="shared" si="48"/>
        <v>0</v>
      </c>
      <c r="L115" s="393">
        <f t="shared" si="49"/>
        <v>0</v>
      </c>
      <c r="M115" s="437">
        <f t="shared" si="50"/>
        <v>0</v>
      </c>
      <c r="N115" s="437">
        <f t="shared" si="50"/>
        <v>0</v>
      </c>
      <c r="O115" s="393">
        <f t="shared" si="51"/>
        <v>0</v>
      </c>
      <c r="P115" s="437"/>
      <c r="Q115" s="437"/>
      <c r="R115" s="393"/>
      <c r="S115" s="437"/>
      <c r="T115" s="437"/>
      <c r="U115" s="393"/>
      <c r="V115" s="437"/>
      <c r="W115" s="437"/>
      <c r="X115" s="393"/>
      <c r="Y115" s="437"/>
      <c r="Z115" s="437"/>
      <c r="AA115" s="393"/>
      <c r="AB115" s="437"/>
      <c r="AC115" s="437"/>
      <c r="AD115" s="393"/>
      <c r="AE115" s="437"/>
      <c r="AF115" s="437"/>
      <c r="AG115" s="393"/>
      <c r="AH115" s="437"/>
      <c r="AI115" s="437"/>
      <c r="AJ115" s="393"/>
      <c r="AK115" s="437"/>
      <c r="AL115" s="437"/>
      <c r="AM115" s="393"/>
      <c r="AN115" s="437"/>
      <c r="AO115" s="437"/>
      <c r="AP115" s="393"/>
      <c r="AQ115" s="437"/>
      <c r="AR115" s="437"/>
      <c r="AS115" s="393"/>
      <c r="AT115" s="437"/>
      <c r="AU115" s="437"/>
      <c r="AV115" s="393"/>
    </row>
    <row r="116" spans="1:49" ht="15.75" thickBot="1" x14ac:dyDescent="0.3">
      <c r="A116" s="682"/>
      <c r="B116" s="684"/>
      <c r="C116" s="438" t="s">
        <v>34</v>
      </c>
      <c r="D116" s="439">
        <f t="shared" si="35"/>
        <v>0</v>
      </c>
      <c r="E116" s="440">
        <f t="shared" si="39"/>
        <v>0</v>
      </c>
      <c r="F116" s="441">
        <f t="shared" si="25"/>
        <v>0</v>
      </c>
      <c r="G116" s="442">
        <f t="shared" si="46"/>
        <v>0</v>
      </c>
      <c r="H116" s="442">
        <f t="shared" si="46"/>
        <v>0</v>
      </c>
      <c r="I116" s="399">
        <f t="shared" si="47"/>
        <v>0</v>
      </c>
      <c r="J116" s="442">
        <f t="shared" si="48"/>
        <v>0</v>
      </c>
      <c r="K116" s="442">
        <f t="shared" si="48"/>
        <v>0</v>
      </c>
      <c r="L116" s="399">
        <f t="shared" si="49"/>
        <v>0</v>
      </c>
      <c r="M116" s="442">
        <f t="shared" si="50"/>
        <v>0</v>
      </c>
      <c r="N116" s="442">
        <f t="shared" si="50"/>
        <v>0</v>
      </c>
      <c r="O116" s="399">
        <f t="shared" si="51"/>
        <v>0</v>
      </c>
      <c r="P116" s="442"/>
      <c r="Q116" s="442"/>
      <c r="R116" s="399"/>
      <c r="S116" s="442"/>
      <c r="T116" s="442"/>
      <c r="U116" s="399"/>
      <c r="V116" s="442"/>
      <c r="W116" s="442"/>
      <c r="X116" s="399"/>
      <c r="Y116" s="442"/>
      <c r="Z116" s="442"/>
      <c r="AA116" s="399"/>
      <c r="AB116" s="442"/>
      <c r="AC116" s="442"/>
      <c r="AD116" s="399"/>
      <c r="AE116" s="442"/>
      <c r="AF116" s="442"/>
      <c r="AG116" s="399"/>
      <c r="AH116" s="442"/>
      <c r="AI116" s="442"/>
      <c r="AJ116" s="399"/>
      <c r="AK116" s="442"/>
      <c r="AL116" s="442"/>
      <c r="AM116" s="399"/>
      <c r="AN116" s="442"/>
      <c r="AO116" s="442"/>
      <c r="AP116" s="399"/>
      <c r="AQ116" s="442"/>
      <c r="AR116" s="442"/>
      <c r="AS116" s="399"/>
      <c r="AT116" s="442"/>
      <c r="AU116" s="442"/>
      <c r="AV116" s="399"/>
    </row>
    <row r="117" spans="1:49" ht="15" customHeight="1" x14ac:dyDescent="0.25">
      <c r="A117" s="685" t="s">
        <v>187</v>
      </c>
      <c r="B117" s="686" t="s">
        <v>13</v>
      </c>
      <c r="C117" s="430" t="s">
        <v>25</v>
      </c>
      <c r="D117" s="431">
        <f t="shared" si="35"/>
        <v>0</v>
      </c>
      <c r="E117" s="432">
        <f t="shared" si="39"/>
        <v>0</v>
      </c>
      <c r="F117" s="433">
        <f t="shared" si="25"/>
        <v>0</v>
      </c>
      <c r="G117" s="443">
        <f t="shared" ref="G117:H126" si="52">G6*G26</f>
        <v>0</v>
      </c>
      <c r="H117" s="443">
        <f t="shared" si="52"/>
        <v>0</v>
      </c>
      <c r="I117" s="384">
        <f>H117-G117</f>
        <v>0</v>
      </c>
      <c r="J117" s="443">
        <f t="shared" ref="J117:K126" si="53">J6*J26</f>
        <v>0</v>
      </c>
      <c r="K117" s="443">
        <f t="shared" si="53"/>
        <v>0</v>
      </c>
      <c r="L117" s="384">
        <f>K117-J117</f>
        <v>0</v>
      </c>
      <c r="M117" s="443">
        <f t="shared" ref="M117:N126" si="54">M6*M26</f>
        <v>0</v>
      </c>
      <c r="N117" s="443">
        <f t="shared" si="54"/>
        <v>0</v>
      </c>
      <c r="O117" s="384">
        <f>N117-M117</f>
        <v>0</v>
      </c>
      <c r="P117" s="443"/>
      <c r="Q117" s="443"/>
      <c r="R117" s="384"/>
      <c r="S117" s="443"/>
      <c r="T117" s="443"/>
      <c r="U117" s="384"/>
      <c r="V117" s="443"/>
      <c r="W117" s="443"/>
      <c r="X117" s="384"/>
      <c r="Y117" s="443"/>
      <c r="Z117" s="443"/>
      <c r="AA117" s="384"/>
      <c r="AB117" s="443"/>
      <c r="AC117" s="443"/>
      <c r="AD117" s="384"/>
      <c r="AE117" s="443"/>
      <c r="AF117" s="443"/>
      <c r="AG117" s="384"/>
      <c r="AH117" s="443"/>
      <c r="AI117" s="443"/>
      <c r="AJ117" s="384"/>
      <c r="AK117" s="443"/>
      <c r="AL117" s="443"/>
      <c r="AM117" s="384"/>
      <c r="AN117" s="443"/>
      <c r="AO117" s="443"/>
      <c r="AP117" s="384"/>
      <c r="AQ117" s="443"/>
      <c r="AR117" s="443"/>
      <c r="AS117" s="384"/>
      <c r="AT117" s="443"/>
      <c r="AU117" s="443"/>
      <c r="AV117" s="384"/>
    </row>
    <row r="118" spans="1:49" x14ac:dyDescent="0.25">
      <c r="A118" s="681"/>
      <c r="B118" s="683"/>
      <c r="C118" s="430" t="s">
        <v>26</v>
      </c>
      <c r="D118" s="431">
        <f t="shared" si="35"/>
        <v>0</v>
      </c>
      <c r="E118" s="432">
        <f t="shared" si="39"/>
        <v>0</v>
      </c>
      <c r="F118" s="433">
        <f t="shared" si="25"/>
        <v>0</v>
      </c>
      <c r="G118" s="437">
        <f t="shared" si="52"/>
        <v>0</v>
      </c>
      <c r="H118" s="437">
        <f t="shared" si="52"/>
        <v>0</v>
      </c>
      <c r="I118" s="393">
        <f t="shared" ref="I118:I126" si="55">H118-G118</f>
        <v>0</v>
      </c>
      <c r="J118" s="437">
        <f t="shared" si="53"/>
        <v>0</v>
      </c>
      <c r="K118" s="437">
        <f t="shared" si="53"/>
        <v>0</v>
      </c>
      <c r="L118" s="393">
        <f t="shared" ref="L118:L126" si="56">K118-J118</f>
        <v>0</v>
      </c>
      <c r="M118" s="437">
        <f t="shared" si="54"/>
        <v>0</v>
      </c>
      <c r="N118" s="437">
        <f t="shared" si="54"/>
        <v>0</v>
      </c>
      <c r="O118" s="393">
        <f t="shared" ref="O118:O126" si="57">N118-M118</f>
        <v>0</v>
      </c>
      <c r="P118" s="437"/>
      <c r="Q118" s="437"/>
      <c r="R118" s="393"/>
      <c r="S118" s="437"/>
      <c r="T118" s="437"/>
      <c r="U118" s="393"/>
      <c r="V118" s="437"/>
      <c r="W118" s="437"/>
      <c r="X118" s="393"/>
      <c r="Y118" s="437"/>
      <c r="Z118" s="437"/>
      <c r="AA118" s="393"/>
      <c r="AB118" s="437"/>
      <c r="AC118" s="437"/>
      <c r="AD118" s="393"/>
      <c r="AE118" s="437"/>
      <c r="AF118" s="437"/>
      <c r="AG118" s="393"/>
      <c r="AH118" s="437"/>
      <c r="AI118" s="437"/>
      <c r="AJ118" s="393"/>
      <c r="AK118" s="437"/>
      <c r="AL118" s="437"/>
      <c r="AM118" s="393"/>
      <c r="AN118" s="437"/>
      <c r="AO118" s="437"/>
      <c r="AP118" s="393"/>
      <c r="AQ118" s="437"/>
      <c r="AR118" s="437"/>
      <c r="AS118" s="393"/>
      <c r="AT118" s="437"/>
      <c r="AU118" s="437"/>
      <c r="AV118" s="393"/>
    </row>
    <row r="119" spans="1:49" x14ac:dyDescent="0.25">
      <c r="A119" s="681"/>
      <c r="B119" s="683"/>
      <c r="C119" s="430" t="s">
        <v>27</v>
      </c>
      <c r="D119" s="431">
        <f t="shared" si="35"/>
        <v>0</v>
      </c>
      <c r="E119" s="432">
        <f t="shared" si="39"/>
        <v>0</v>
      </c>
      <c r="F119" s="433">
        <f t="shared" si="25"/>
        <v>0</v>
      </c>
      <c r="G119" s="437">
        <f t="shared" si="52"/>
        <v>0</v>
      </c>
      <c r="H119" s="437">
        <f t="shared" si="52"/>
        <v>0</v>
      </c>
      <c r="I119" s="393">
        <f t="shared" si="55"/>
        <v>0</v>
      </c>
      <c r="J119" s="437">
        <f t="shared" si="53"/>
        <v>0</v>
      </c>
      <c r="K119" s="437">
        <f t="shared" si="53"/>
        <v>0</v>
      </c>
      <c r="L119" s="393">
        <f t="shared" si="56"/>
        <v>0</v>
      </c>
      <c r="M119" s="437">
        <f t="shared" si="54"/>
        <v>0</v>
      </c>
      <c r="N119" s="437">
        <f t="shared" si="54"/>
        <v>0</v>
      </c>
      <c r="O119" s="393">
        <f t="shared" si="57"/>
        <v>0</v>
      </c>
      <c r="P119" s="437"/>
      <c r="Q119" s="437"/>
      <c r="R119" s="393"/>
      <c r="S119" s="437"/>
      <c r="T119" s="437"/>
      <c r="U119" s="393"/>
      <c r="V119" s="437"/>
      <c r="W119" s="437"/>
      <c r="X119" s="393"/>
      <c r="Y119" s="437"/>
      <c r="Z119" s="437"/>
      <c r="AA119" s="393"/>
      <c r="AB119" s="437"/>
      <c r="AC119" s="437"/>
      <c r="AD119" s="393"/>
      <c r="AE119" s="437"/>
      <c r="AF119" s="437"/>
      <c r="AG119" s="393"/>
      <c r="AH119" s="437"/>
      <c r="AI119" s="437"/>
      <c r="AJ119" s="393"/>
      <c r="AK119" s="437"/>
      <c r="AL119" s="437"/>
      <c r="AM119" s="393"/>
      <c r="AN119" s="437"/>
      <c r="AO119" s="437"/>
      <c r="AP119" s="393"/>
      <c r="AQ119" s="437"/>
      <c r="AR119" s="437"/>
      <c r="AS119" s="393"/>
      <c r="AT119" s="437"/>
      <c r="AU119" s="437"/>
      <c r="AV119" s="393"/>
    </row>
    <row r="120" spans="1:49" x14ac:dyDescent="0.25">
      <c r="A120" s="681"/>
      <c r="B120" s="683"/>
      <c r="C120" s="430" t="s">
        <v>28</v>
      </c>
      <c r="D120" s="431">
        <f t="shared" si="35"/>
        <v>0</v>
      </c>
      <c r="E120" s="432">
        <f t="shared" si="39"/>
        <v>0</v>
      </c>
      <c r="F120" s="433">
        <f t="shared" si="25"/>
        <v>0</v>
      </c>
      <c r="G120" s="437">
        <f t="shared" si="52"/>
        <v>0</v>
      </c>
      <c r="H120" s="437">
        <f t="shared" si="52"/>
        <v>0</v>
      </c>
      <c r="I120" s="393">
        <f t="shared" si="55"/>
        <v>0</v>
      </c>
      <c r="J120" s="437">
        <f t="shared" si="53"/>
        <v>0</v>
      </c>
      <c r="K120" s="437">
        <f t="shared" si="53"/>
        <v>0</v>
      </c>
      <c r="L120" s="393">
        <f t="shared" si="56"/>
        <v>0</v>
      </c>
      <c r="M120" s="437">
        <f t="shared" si="54"/>
        <v>0</v>
      </c>
      <c r="N120" s="437">
        <f t="shared" si="54"/>
        <v>0</v>
      </c>
      <c r="O120" s="393">
        <f t="shared" si="57"/>
        <v>0</v>
      </c>
      <c r="P120" s="437"/>
      <c r="Q120" s="437"/>
      <c r="R120" s="393"/>
      <c r="S120" s="437"/>
      <c r="T120" s="437"/>
      <c r="U120" s="393"/>
      <c r="V120" s="437"/>
      <c r="W120" s="437"/>
      <c r="X120" s="393"/>
      <c r="Y120" s="437"/>
      <c r="Z120" s="437"/>
      <c r="AA120" s="393"/>
      <c r="AB120" s="437"/>
      <c r="AC120" s="437"/>
      <c r="AD120" s="393"/>
      <c r="AE120" s="437"/>
      <c r="AF120" s="437"/>
      <c r="AG120" s="393"/>
      <c r="AH120" s="437"/>
      <c r="AI120" s="437"/>
      <c r="AJ120" s="393"/>
      <c r="AK120" s="437"/>
      <c r="AL120" s="437"/>
      <c r="AM120" s="393"/>
      <c r="AN120" s="437"/>
      <c r="AO120" s="437"/>
      <c r="AP120" s="393"/>
      <c r="AQ120" s="437"/>
      <c r="AR120" s="437"/>
      <c r="AS120" s="393"/>
      <c r="AT120" s="437"/>
      <c r="AU120" s="437"/>
      <c r="AV120" s="393"/>
    </row>
    <row r="121" spans="1:49" x14ac:dyDescent="0.25">
      <c r="A121" s="681"/>
      <c r="B121" s="683"/>
      <c r="C121" s="430" t="s">
        <v>29</v>
      </c>
      <c r="D121" s="431">
        <f t="shared" si="35"/>
        <v>0</v>
      </c>
      <c r="E121" s="432">
        <f t="shared" si="39"/>
        <v>0</v>
      </c>
      <c r="F121" s="433">
        <f t="shared" si="25"/>
        <v>0</v>
      </c>
      <c r="G121" s="437">
        <f t="shared" si="52"/>
        <v>0</v>
      </c>
      <c r="H121" s="437">
        <f t="shared" si="52"/>
        <v>0</v>
      </c>
      <c r="I121" s="393">
        <f t="shared" si="55"/>
        <v>0</v>
      </c>
      <c r="J121" s="437">
        <f t="shared" si="53"/>
        <v>0</v>
      </c>
      <c r="K121" s="437">
        <f t="shared" si="53"/>
        <v>0</v>
      </c>
      <c r="L121" s="393">
        <f t="shared" si="56"/>
        <v>0</v>
      </c>
      <c r="M121" s="437">
        <f t="shared" si="54"/>
        <v>0</v>
      </c>
      <c r="N121" s="437">
        <f t="shared" si="54"/>
        <v>0</v>
      </c>
      <c r="O121" s="393">
        <f t="shared" si="57"/>
        <v>0</v>
      </c>
      <c r="P121" s="437"/>
      <c r="Q121" s="437"/>
      <c r="R121" s="393"/>
      <c r="S121" s="437"/>
      <c r="T121" s="437"/>
      <c r="U121" s="393"/>
      <c r="V121" s="437"/>
      <c r="W121" s="437"/>
      <c r="X121" s="393"/>
      <c r="Y121" s="437"/>
      <c r="Z121" s="437"/>
      <c r="AA121" s="393"/>
      <c r="AB121" s="437"/>
      <c r="AC121" s="437"/>
      <c r="AD121" s="393"/>
      <c r="AE121" s="437"/>
      <c r="AF121" s="437"/>
      <c r="AG121" s="393"/>
      <c r="AH121" s="437"/>
      <c r="AI121" s="437"/>
      <c r="AJ121" s="393"/>
      <c r="AK121" s="437"/>
      <c r="AL121" s="437"/>
      <c r="AM121" s="393"/>
      <c r="AN121" s="437"/>
      <c r="AO121" s="437"/>
      <c r="AP121" s="393"/>
      <c r="AQ121" s="437"/>
      <c r="AR121" s="437"/>
      <c r="AS121" s="393"/>
      <c r="AT121" s="437"/>
      <c r="AU121" s="437"/>
      <c r="AV121" s="393"/>
    </row>
    <row r="122" spans="1:49" x14ac:dyDescent="0.25">
      <c r="A122" s="681"/>
      <c r="B122" s="683"/>
      <c r="C122" s="430" t="s">
        <v>30</v>
      </c>
      <c r="D122" s="431">
        <f t="shared" si="35"/>
        <v>0</v>
      </c>
      <c r="E122" s="432">
        <f t="shared" si="39"/>
        <v>0</v>
      </c>
      <c r="F122" s="433">
        <f t="shared" si="25"/>
        <v>0</v>
      </c>
      <c r="G122" s="437">
        <f t="shared" si="52"/>
        <v>0</v>
      </c>
      <c r="H122" s="437">
        <f t="shared" si="52"/>
        <v>0</v>
      </c>
      <c r="I122" s="393">
        <f t="shared" si="55"/>
        <v>0</v>
      </c>
      <c r="J122" s="437">
        <f t="shared" si="53"/>
        <v>0</v>
      </c>
      <c r="K122" s="437">
        <f t="shared" si="53"/>
        <v>0</v>
      </c>
      <c r="L122" s="393">
        <f t="shared" si="56"/>
        <v>0</v>
      </c>
      <c r="M122" s="437">
        <f t="shared" si="54"/>
        <v>0</v>
      </c>
      <c r="N122" s="437">
        <f t="shared" si="54"/>
        <v>0</v>
      </c>
      <c r="O122" s="393">
        <f t="shared" si="57"/>
        <v>0</v>
      </c>
      <c r="P122" s="437"/>
      <c r="Q122" s="437"/>
      <c r="R122" s="393"/>
      <c r="S122" s="437"/>
      <c r="T122" s="437"/>
      <c r="U122" s="393"/>
      <c r="V122" s="437"/>
      <c r="W122" s="437"/>
      <c r="X122" s="393"/>
      <c r="Y122" s="437"/>
      <c r="Z122" s="437"/>
      <c r="AA122" s="393"/>
      <c r="AB122" s="437"/>
      <c r="AC122" s="437"/>
      <c r="AD122" s="393"/>
      <c r="AE122" s="437"/>
      <c r="AF122" s="437"/>
      <c r="AG122" s="393"/>
      <c r="AH122" s="437"/>
      <c r="AI122" s="437"/>
      <c r="AJ122" s="393"/>
      <c r="AK122" s="437"/>
      <c r="AL122" s="437"/>
      <c r="AM122" s="393"/>
      <c r="AN122" s="437"/>
      <c r="AO122" s="437"/>
      <c r="AP122" s="393"/>
      <c r="AQ122" s="437"/>
      <c r="AR122" s="437"/>
      <c r="AS122" s="393"/>
      <c r="AT122" s="437"/>
      <c r="AU122" s="437"/>
      <c r="AV122" s="393"/>
    </row>
    <row r="123" spans="1:49" x14ac:dyDescent="0.25">
      <c r="A123" s="681"/>
      <c r="B123" s="683"/>
      <c r="C123" s="430" t="s">
        <v>31</v>
      </c>
      <c r="D123" s="431">
        <f t="shared" si="35"/>
        <v>0</v>
      </c>
      <c r="E123" s="432">
        <f t="shared" si="39"/>
        <v>0</v>
      </c>
      <c r="F123" s="433">
        <f t="shared" si="25"/>
        <v>0</v>
      </c>
      <c r="G123" s="437">
        <f t="shared" si="52"/>
        <v>0</v>
      </c>
      <c r="H123" s="437">
        <f t="shared" si="52"/>
        <v>0</v>
      </c>
      <c r="I123" s="393">
        <f t="shared" si="55"/>
        <v>0</v>
      </c>
      <c r="J123" s="437">
        <f t="shared" si="53"/>
        <v>0</v>
      </c>
      <c r="K123" s="437">
        <f t="shared" si="53"/>
        <v>0</v>
      </c>
      <c r="L123" s="393">
        <f t="shared" si="56"/>
        <v>0</v>
      </c>
      <c r="M123" s="437">
        <f t="shared" si="54"/>
        <v>0</v>
      </c>
      <c r="N123" s="437">
        <f t="shared" si="54"/>
        <v>0</v>
      </c>
      <c r="O123" s="393">
        <f t="shared" si="57"/>
        <v>0</v>
      </c>
      <c r="P123" s="437"/>
      <c r="Q123" s="437"/>
      <c r="R123" s="393"/>
      <c r="S123" s="437"/>
      <c r="T123" s="437"/>
      <c r="U123" s="393"/>
      <c r="V123" s="437"/>
      <c r="W123" s="437"/>
      <c r="X123" s="393"/>
      <c r="Y123" s="437"/>
      <c r="Z123" s="437"/>
      <c r="AA123" s="393"/>
      <c r="AB123" s="437"/>
      <c r="AC123" s="437"/>
      <c r="AD123" s="393"/>
      <c r="AE123" s="437"/>
      <c r="AF123" s="437"/>
      <c r="AG123" s="393"/>
      <c r="AH123" s="437"/>
      <c r="AI123" s="437"/>
      <c r="AJ123" s="393"/>
      <c r="AK123" s="437"/>
      <c r="AL123" s="437"/>
      <c r="AM123" s="393"/>
      <c r="AN123" s="437"/>
      <c r="AO123" s="437"/>
      <c r="AP123" s="393"/>
      <c r="AQ123" s="437"/>
      <c r="AR123" s="437"/>
      <c r="AS123" s="393"/>
      <c r="AT123" s="437"/>
      <c r="AU123" s="437"/>
      <c r="AV123" s="393"/>
    </row>
    <row r="124" spans="1:49" x14ac:dyDescent="0.25">
      <c r="A124" s="681"/>
      <c r="B124" s="683"/>
      <c r="C124" s="430" t="s">
        <v>32</v>
      </c>
      <c r="D124" s="431">
        <f t="shared" si="35"/>
        <v>0</v>
      </c>
      <c r="E124" s="432">
        <f t="shared" si="39"/>
        <v>0</v>
      </c>
      <c r="F124" s="433">
        <f t="shared" si="25"/>
        <v>0</v>
      </c>
      <c r="G124" s="437">
        <f t="shared" si="52"/>
        <v>0</v>
      </c>
      <c r="H124" s="437">
        <f t="shared" si="52"/>
        <v>0</v>
      </c>
      <c r="I124" s="393">
        <f t="shared" si="55"/>
        <v>0</v>
      </c>
      <c r="J124" s="437">
        <f t="shared" si="53"/>
        <v>0</v>
      </c>
      <c r="K124" s="437">
        <f t="shared" si="53"/>
        <v>0</v>
      </c>
      <c r="L124" s="393">
        <f t="shared" si="56"/>
        <v>0</v>
      </c>
      <c r="M124" s="437">
        <f t="shared" si="54"/>
        <v>0</v>
      </c>
      <c r="N124" s="437">
        <f t="shared" si="54"/>
        <v>0</v>
      </c>
      <c r="O124" s="393">
        <f t="shared" si="57"/>
        <v>0</v>
      </c>
      <c r="P124" s="437"/>
      <c r="Q124" s="437"/>
      <c r="R124" s="393"/>
      <c r="S124" s="437"/>
      <c r="T124" s="437"/>
      <c r="U124" s="393"/>
      <c r="V124" s="437"/>
      <c r="W124" s="437"/>
      <c r="X124" s="393"/>
      <c r="Y124" s="437"/>
      <c r="Z124" s="437"/>
      <c r="AA124" s="393"/>
      <c r="AB124" s="437"/>
      <c r="AC124" s="437"/>
      <c r="AD124" s="393"/>
      <c r="AE124" s="437"/>
      <c r="AF124" s="437"/>
      <c r="AG124" s="393"/>
      <c r="AH124" s="437"/>
      <c r="AI124" s="437"/>
      <c r="AJ124" s="393"/>
      <c r="AK124" s="437"/>
      <c r="AL124" s="437"/>
      <c r="AM124" s="393"/>
      <c r="AN124" s="437"/>
      <c r="AO124" s="437"/>
      <c r="AP124" s="393"/>
      <c r="AQ124" s="437"/>
      <c r="AR124" s="437"/>
      <c r="AS124" s="393"/>
      <c r="AT124" s="437"/>
      <c r="AU124" s="437"/>
      <c r="AV124" s="393"/>
    </row>
    <row r="125" spans="1:49" x14ac:dyDescent="0.25">
      <c r="A125" s="681"/>
      <c r="B125" s="683"/>
      <c r="C125" s="430" t="s">
        <v>33</v>
      </c>
      <c r="D125" s="431">
        <f t="shared" si="35"/>
        <v>0</v>
      </c>
      <c r="E125" s="432">
        <f t="shared" si="39"/>
        <v>0</v>
      </c>
      <c r="F125" s="433">
        <f t="shared" si="25"/>
        <v>0</v>
      </c>
      <c r="G125" s="437">
        <f t="shared" si="52"/>
        <v>0</v>
      </c>
      <c r="H125" s="437">
        <f t="shared" si="52"/>
        <v>0</v>
      </c>
      <c r="I125" s="393">
        <f t="shared" si="55"/>
        <v>0</v>
      </c>
      <c r="J125" s="437">
        <f t="shared" si="53"/>
        <v>0</v>
      </c>
      <c r="K125" s="437">
        <f t="shared" si="53"/>
        <v>0</v>
      </c>
      <c r="L125" s="393">
        <f t="shared" si="56"/>
        <v>0</v>
      </c>
      <c r="M125" s="437">
        <f t="shared" si="54"/>
        <v>0</v>
      </c>
      <c r="N125" s="437">
        <f t="shared" si="54"/>
        <v>0</v>
      </c>
      <c r="O125" s="393">
        <f t="shared" si="57"/>
        <v>0</v>
      </c>
      <c r="P125" s="437"/>
      <c r="Q125" s="437"/>
      <c r="R125" s="393"/>
      <c r="S125" s="437"/>
      <c r="T125" s="437"/>
      <c r="U125" s="393"/>
      <c r="V125" s="437"/>
      <c r="W125" s="437"/>
      <c r="X125" s="393"/>
      <c r="Y125" s="437"/>
      <c r="Z125" s="437"/>
      <c r="AA125" s="393"/>
      <c r="AB125" s="437"/>
      <c r="AC125" s="437"/>
      <c r="AD125" s="393"/>
      <c r="AE125" s="437"/>
      <c r="AF125" s="437"/>
      <c r="AG125" s="393"/>
      <c r="AH125" s="437"/>
      <c r="AI125" s="437"/>
      <c r="AJ125" s="393"/>
      <c r="AK125" s="437"/>
      <c r="AL125" s="437"/>
      <c r="AM125" s="393"/>
      <c r="AN125" s="437"/>
      <c r="AO125" s="437"/>
      <c r="AP125" s="393"/>
      <c r="AQ125" s="437"/>
      <c r="AR125" s="437"/>
      <c r="AS125" s="393"/>
      <c r="AT125" s="437"/>
      <c r="AU125" s="437"/>
      <c r="AV125" s="393"/>
    </row>
    <row r="126" spans="1:49" ht="15.75" thickBot="1" x14ac:dyDescent="0.3">
      <c r="A126" s="682"/>
      <c r="B126" s="684"/>
      <c r="C126" s="438" t="s">
        <v>34</v>
      </c>
      <c r="D126" s="439">
        <f t="shared" si="35"/>
        <v>0</v>
      </c>
      <c r="E126" s="440">
        <f t="shared" si="39"/>
        <v>0</v>
      </c>
      <c r="F126" s="441">
        <f t="shared" si="25"/>
        <v>0</v>
      </c>
      <c r="G126" s="442">
        <f t="shared" si="52"/>
        <v>0</v>
      </c>
      <c r="H126" s="442">
        <f t="shared" si="52"/>
        <v>0</v>
      </c>
      <c r="I126" s="399">
        <f t="shared" si="55"/>
        <v>0</v>
      </c>
      <c r="J126" s="442">
        <f t="shared" si="53"/>
        <v>0</v>
      </c>
      <c r="K126" s="442">
        <f t="shared" si="53"/>
        <v>0</v>
      </c>
      <c r="L126" s="399">
        <f t="shared" si="56"/>
        <v>0</v>
      </c>
      <c r="M126" s="442">
        <f t="shared" si="54"/>
        <v>0</v>
      </c>
      <c r="N126" s="442">
        <f t="shared" si="54"/>
        <v>0</v>
      </c>
      <c r="O126" s="399">
        <f t="shared" si="57"/>
        <v>0</v>
      </c>
      <c r="P126" s="442"/>
      <c r="Q126" s="442"/>
      <c r="R126" s="399"/>
      <c r="S126" s="442"/>
      <c r="T126" s="442"/>
      <c r="U126" s="399"/>
      <c r="V126" s="442"/>
      <c r="W126" s="442"/>
      <c r="X126" s="399"/>
      <c r="Y126" s="442"/>
      <c r="Z126" s="442"/>
      <c r="AA126" s="399"/>
      <c r="AB126" s="442"/>
      <c r="AC126" s="442"/>
      <c r="AD126" s="399"/>
      <c r="AE126" s="442"/>
      <c r="AF126" s="442"/>
      <c r="AG126" s="399"/>
      <c r="AH126" s="442"/>
      <c r="AI126" s="442"/>
      <c r="AJ126" s="399"/>
      <c r="AK126" s="442"/>
      <c r="AL126" s="442"/>
      <c r="AM126" s="399"/>
      <c r="AN126" s="442"/>
      <c r="AO126" s="442"/>
      <c r="AP126" s="399"/>
      <c r="AQ126" s="442"/>
      <c r="AR126" s="442"/>
      <c r="AS126" s="399"/>
      <c r="AT126" s="442"/>
      <c r="AU126" s="442"/>
      <c r="AV126" s="399"/>
    </row>
    <row r="127" spans="1:49" x14ac:dyDescent="0.25">
      <c r="A127" s="681" t="s">
        <v>39</v>
      </c>
      <c r="B127" s="683" t="s">
        <v>13</v>
      </c>
      <c r="C127" s="430" t="s">
        <v>25</v>
      </c>
      <c r="D127" s="431">
        <f t="shared" si="35"/>
        <v>0</v>
      </c>
      <c r="E127" s="432">
        <f t="shared" si="39"/>
        <v>0</v>
      </c>
      <c r="F127" s="433">
        <f t="shared" si="25"/>
        <v>0</v>
      </c>
      <c r="G127" s="443">
        <f t="shared" ref="G127:G136" si="58">G56</f>
        <v>0</v>
      </c>
      <c r="H127" s="443">
        <f t="shared" ref="H127:H136" si="59">H56*(1+$AW$127)</f>
        <v>0</v>
      </c>
      <c r="I127" s="384">
        <f>H127-G127</f>
        <v>0</v>
      </c>
      <c r="J127" s="443">
        <f t="shared" ref="J127:J136" si="60">J56</f>
        <v>0</v>
      </c>
      <c r="K127" s="443">
        <f t="shared" ref="K127:K136" si="61">K56*(1+$AW$127)</f>
        <v>0</v>
      </c>
      <c r="L127" s="384">
        <f>K127-J127</f>
        <v>0</v>
      </c>
      <c r="M127" s="443">
        <f t="shared" ref="M127:M136" si="62">M56</f>
        <v>0</v>
      </c>
      <c r="N127" s="443">
        <f t="shared" ref="N127:N136" si="63">N56*(1+$AW$127)</f>
        <v>0</v>
      </c>
      <c r="O127" s="384">
        <f>N127-M127</f>
        <v>0</v>
      </c>
      <c r="P127" s="443"/>
      <c r="Q127" s="443"/>
      <c r="R127" s="384"/>
      <c r="S127" s="443"/>
      <c r="T127" s="443"/>
      <c r="U127" s="384"/>
      <c r="V127" s="443"/>
      <c r="W127" s="443"/>
      <c r="X127" s="384"/>
      <c r="Y127" s="443"/>
      <c r="Z127" s="443"/>
      <c r="AA127" s="384"/>
      <c r="AB127" s="443"/>
      <c r="AC127" s="443"/>
      <c r="AD127" s="384"/>
      <c r="AE127" s="443"/>
      <c r="AF127" s="443"/>
      <c r="AG127" s="384"/>
      <c r="AH127" s="443"/>
      <c r="AI127" s="443"/>
      <c r="AJ127" s="384"/>
      <c r="AK127" s="443"/>
      <c r="AL127" s="443"/>
      <c r="AM127" s="384"/>
      <c r="AN127" s="443"/>
      <c r="AO127" s="443"/>
      <c r="AP127" s="384"/>
      <c r="AQ127" s="443"/>
      <c r="AR127" s="443"/>
      <c r="AS127" s="384"/>
      <c r="AT127" s="443"/>
      <c r="AU127" s="443"/>
      <c r="AV127" s="384"/>
      <c r="AW127" s="385">
        <f>'Analyza citlivosti - AgendovéIS'!H7</f>
        <v>0</v>
      </c>
    </row>
    <row r="128" spans="1:49" x14ac:dyDescent="0.25">
      <c r="A128" s="681"/>
      <c r="B128" s="683"/>
      <c r="C128" s="430" t="s">
        <v>26</v>
      </c>
      <c r="D128" s="431">
        <f t="shared" si="35"/>
        <v>0</v>
      </c>
      <c r="E128" s="432">
        <f t="shared" si="39"/>
        <v>0</v>
      </c>
      <c r="F128" s="433">
        <f t="shared" si="25"/>
        <v>0</v>
      </c>
      <c r="G128" s="437">
        <f t="shared" si="58"/>
        <v>0</v>
      </c>
      <c r="H128" s="437">
        <f t="shared" si="59"/>
        <v>0</v>
      </c>
      <c r="I128" s="393">
        <f t="shared" ref="I128:I136" si="64">H128-G128</f>
        <v>0</v>
      </c>
      <c r="J128" s="437">
        <f t="shared" si="60"/>
        <v>0</v>
      </c>
      <c r="K128" s="437">
        <f t="shared" si="61"/>
        <v>0</v>
      </c>
      <c r="L128" s="393">
        <f t="shared" ref="L128:L136" si="65">K128-J128</f>
        <v>0</v>
      </c>
      <c r="M128" s="437">
        <f t="shared" si="62"/>
        <v>0</v>
      </c>
      <c r="N128" s="437">
        <f t="shared" si="63"/>
        <v>0</v>
      </c>
      <c r="O128" s="393">
        <f t="shared" ref="O128:O136" si="66">N128-M128</f>
        <v>0</v>
      </c>
      <c r="P128" s="437"/>
      <c r="Q128" s="437"/>
      <c r="R128" s="393"/>
      <c r="S128" s="437"/>
      <c r="T128" s="437"/>
      <c r="U128" s="393"/>
      <c r="V128" s="437"/>
      <c r="W128" s="437"/>
      <c r="X128" s="393"/>
      <c r="Y128" s="437"/>
      <c r="Z128" s="437"/>
      <c r="AA128" s="393"/>
      <c r="AB128" s="437"/>
      <c r="AC128" s="437"/>
      <c r="AD128" s="393"/>
      <c r="AE128" s="437"/>
      <c r="AF128" s="437"/>
      <c r="AG128" s="393"/>
      <c r="AH128" s="437"/>
      <c r="AI128" s="437"/>
      <c r="AJ128" s="393"/>
      <c r="AK128" s="437"/>
      <c r="AL128" s="437"/>
      <c r="AM128" s="393"/>
      <c r="AN128" s="437"/>
      <c r="AO128" s="437"/>
      <c r="AP128" s="393"/>
      <c r="AQ128" s="437"/>
      <c r="AR128" s="437"/>
      <c r="AS128" s="393"/>
      <c r="AT128" s="437"/>
      <c r="AU128" s="437"/>
      <c r="AV128" s="393"/>
    </row>
    <row r="129" spans="1:48" x14ac:dyDescent="0.25">
      <c r="A129" s="681"/>
      <c r="B129" s="683"/>
      <c r="C129" s="430" t="s">
        <v>27</v>
      </c>
      <c r="D129" s="431">
        <f t="shared" si="35"/>
        <v>0</v>
      </c>
      <c r="E129" s="432">
        <f t="shared" si="39"/>
        <v>0</v>
      </c>
      <c r="F129" s="433">
        <f t="shared" si="25"/>
        <v>0</v>
      </c>
      <c r="G129" s="437">
        <f t="shared" si="58"/>
        <v>0</v>
      </c>
      <c r="H129" s="437">
        <f t="shared" si="59"/>
        <v>0</v>
      </c>
      <c r="I129" s="393">
        <f t="shared" si="64"/>
        <v>0</v>
      </c>
      <c r="J129" s="437">
        <f t="shared" si="60"/>
        <v>0</v>
      </c>
      <c r="K129" s="437">
        <f t="shared" si="61"/>
        <v>0</v>
      </c>
      <c r="L129" s="393">
        <f t="shared" si="65"/>
        <v>0</v>
      </c>
      <c r="M129" s="437">
        <f t="shared" si="62"/>
        <v>0</v>
      </c>
      <c r="N129" s="437">
        <f t="shared" si="63"/>
        <v>0</v>
      </c>
      <c r="O129" s="393">
        <f t="shared" si="66"/>
        <v>0</v>
      </c>
      <c r="P129" s="437"/>
      <c r="Q129" s="437"/>
      <c r="R129" s="393"/>
      <c r="S129" s="437"/>
      <c r="T129" s="437"/>
      <c r="U129" s="393"/>
      <c r="V129" s="437"/>
      <c r="W129" s="437"/>
      <c r="X129" s="393"/>
      <c r="Y129" s="437"/>
      <c r="Z129" s="437"/>
      <c r="AA129" s="393"/>
      <c r="AB129" s="437"/>
      <c r="AC129" s="437"/>
      <c r="AD129" s="393"/>
      <c r="AE129" s="437"/>
      <c r="AF129" s="437"/>
      <c r="AG129" s="393"/>
      <c r="AH129" s="437"/>
      <c r="AI129" s="437"/>
      <c r="AJ129" s="393"/>
      <c r="AK129" s="437"/>
      <c r="AL129" s="437"/>
      <c r="AM129" s="393"/>
      <c r="AN129" s="437"/>
      <c r="AO129" s="437"/>
      <c r="AP129" s="393"/>
      <c r="AQ129" s="437"/>
      <c r="AR129" s="437"/>
      <c r="AS129" s="393"/>
      <c r="AT129" s="437"/>
      <c r="AU129" s="437"/>
      <c r="AV129" s="393"/>
    </row>
    <row r="130" spans="1:48" x14ac:dyDescent="0.25">
      <c r="A130" s="681"/>
      <c r="B130" s="683"/>
      <c r="C130" s="430" t="s">
        <v>28</v>
      </c>
      <c r="D130" s="431">
        <f t="shared" si="35"/>
        <v>0</v>
      </c>
      <c r="E130" s="432">
        <f t="shared" si="39"/>
        <v>0</v>
      </c>
      <c r="F130" s="433">
        <f t="shared" si="25"/>
        <v>0</v>
      </c>
      <c r="G130" s="437">
        <f t="shared" si="58"/>
        <v>0</v>
      </c>
      <c r="H130" s="437">
        <f t="shared" si="59"/>
        <v>0</v>
      </c>
      <c r="I130" s="393">
        <f t="shared" si="64"/>
        <v>0</v>
      </c>
      <c r="J130" s="437">
        <f t="shared" si="60"/>
        <v>0</v>
      </c>
      <c r="K130" s="437">
        <f t="shared" si="61"/>
        <v>0</v>
      </c>
      <c r="L130" s="393">
        <f t="shared" si="65"/>
        <v>0</v>
      </c>
      <c r="M130" s="437">
        <f t="shared" si="62"/>
        <v>0</v>
      </c>
      <c r="N130" s="437">
        <f t="shared" si="63"/>
        <v>0</v>
      </c>
      <c r="O130" s="393">
        <f t="shared" si="66"/>
        <v>0</v>
      </c>
      <c r="P130" s="437"/>
      <c r="Q130" s="437"/>
      <c r="R130" s="393"/>
      <c r="S130" s="437"/>
      <c r="T130" s="437"/>
      <c r="U130" s="393"/>
      <c r="V130" s="437"/>
      <c r="W130" s="437"/>
      <c r="X130" s="393"/>
      <c r="Y130" s="437"/>
      <c r="Z130" s="437"/>
      <c r="AA130" s="393"/>
      <c r="AB130" s="437"/>
      <c r="AC130" s="437"/>
      <c r="AD130" s="393"/>
      <c r="AE130" s="437"/>
      <c r="AF130" s="437"/>
      <c r="AG130" s="393"/>
      <c r="AH130" s="437"/>
      <c r="AI130" s="437"/>
      <c r="AJ130" s="393"/>
      <c r="AK130" s="437"/>
      <c r="AL130" s="437"/>
      <c r="AM130" s="393"/>
      <c r="AN130" s="437"/>
      <c r="AO130" s="437"/>
      <c r="AP130" s="393"/>
      <c r="AQ130" s="437"/>
      <c r="AR130" s="437"/>
      <c r="AS130" s="393"/>
      <c r="AT130" s="437"/>
      <c r="AU130" s="437"/>
      <c r="AV130" s="393"/>
    </row>
    <row r="131" spans="1:48" x14ac:dyDescent="0.25">
      <c r="A131" s="681"/>
      <c r="B131" s="683"/>
      <c r="C131" s="430" t="s">
        <v>29</v>
      </c>
      <c r="D131" s="431">
        <f t="shared" si="35"/>
        <v>0</v>
      </c>
      <c r="E131" s="432">
        <f t="shared" si="39"/>
        <v>0</v>
      </c>
      <c r="F131" s="433">
        <f t="shared" ref="F131:F136" si="67">I131+L131+O131+R131+U131+X131+AA131+AD131+AG131+AJ131+AM131+AP131+AS131+AV131</f>
        <v>0</v>
      </c>
      <c r="G131" s="437">
        <f t="shared" si="58"/>
        <v>0</v>
      </c>
      <c r="H131" s="437">
        <f t="shared" si="59"/>
        <v>0</v>
      </c>
      <c r="I131" s="393">
        <f t="shared" si="64"/>
        <v>0</v>
      </c>
      <c r="J131" s="437">
        <f t="shared" si="60"/>
        <v>0</v>
      </c>
      <c r="K131" s="437">
        <f t="shared" si="61"/>
        <v>0</v>
      </c>
      <c r="L131" s="393">
        <f t="shared" si="65"/>
        <v>0</v>
      </c>
      <c r="M131" s="437">
        <f t="shared" si="62"/>
        <v>0</v>
      </c>
      <c r="N131" s="437">
        <f t="shared" si="63"/>
        <v>0</v>
      </c>
      <c r="O131" s="393">
        <f t="shared" si="66"/>
        <v>0</v>
      </c>
      <c r="P131" s="437"/>
      <c r="Q131" s="437"/>
      <c r="R131" s="393"/>
      <c r="S131" s="437"/>
      <c r="T131" s="437"/>
      <c r="U131" s="393"/>
      <c r="V131" s="437"/>
      <c r="W131" s="437"/>
      <c r="X131" s="393"/>
      <c r="Y131" s="437"/>
      <c r="Z131" s="437"/>
      <c r="AA131" s="393"/>
      <c r="AB131" s="437"/>
      <c r="AC131" s="437"/>
      <c r="AD131" s="393"/>
      <c r="AE131" s="437"/>
      <c r="AF131" s="437"/>
      <c r="AG131" s="393"/>
      <c r="AH131" s="437"/>
      <c r="AI131" s="437"/>
      <c r="AJ131" s="393"/>
      <c r="AK131" s="437"/>
      <c r="AL131" s="437"/>
      <c r="AM131" s="393"/>
      <c r="AN131" s="437"/>
      <c r="AO131" s="437"/>
      <c r="AP131" s="393"/>
      <c r="AQ131" s="437"/>
      <c r="AR131" s="437"/>
      <c r="AS131" s="393"/>
      <c r="AT131" s="437"/>
      <c r="AU131" s="437"/>
      <c r="AV131" s="393"/>
    </row>
    <row r="132" spans="1:48" x14ac:dyDescent="0.25">
      <c r="A132" s="681"/>
      <c r="B132" s="683"/>
      <c r="C132" s="430" t="s">
        <v>30</v>
      </c>
      <c r="D132" s="431">
        <f t="shared" si="35"/>
        <v>0</v>
      </c>
      <c r="E132" s="432">
        <f t="shared" si="39"/>
        <v>0</v>
      </c>
      <c r="F132" s="433">
        <f t="shared" si="67"/>
        <v>0</v>
      </c>
      <c r="G132" s="437">
        <f t="shared" si="58"/>
        <v>0</v>
      </c>
      <c r="H132" s="437">
        <f t="shared" si="59"/>
        <v>0</v>
      </c>
      <c r="I132" s="393">
        <f t="shared" si="64"/>
        <v>0</v>
      </c>
      <c r="J132" s="437">
        <f t="shared" si="60"/>
        <v>0</v>
      </c>
      <c r="K132" s="437">
        <f t="shared" si="61"/>
        <v>0</v>
      </c>
      <c r="L132" s="393">
        <f t="shared" si="65"/>
        <v>0</v>
      </c>
      <c r="M132" s="437">
        <f t="shared" si="62"/>
        <v>0</v>
      </c>
      <c r="N132" s="437">
        <f t="shared" si="63"/>
        <v>0</v>
      </c>
      <c r="O132" s="393">
        <f t="shared" si="66"/>
        <v>0</v>
      </c>
      <c r="P132" s="437"/>
      <c r="Q132" s="437"/>
      <c r="R132" s="393"/>
      <c r="S132" s="437"/>
      <c r="T132" s="437"/>
      <c r="U132" s="393"/>
      <c r="V132" s="437"/>
      <c r="W132" s="437"/>
      <c r="X132" s="393"/>
      <c r="Y132" s="437"/>
      <c r="Z132" s="437"/>
      <c r="AA132" s="393"/>
      <c r="AB132" s="437"/>
      <c r="AC132" s="437"/>
      <c r="AD132" s="393"/>
      <c r="AE132" s="437"/>
      <c r="AF132" s="437"/>
      <c r="AG132" s="393"/>
      <c r="AH132" s="437"/>
      <c r="AI132" s="437"/>
      <c r="AJ132" s="393"/>
      <c r="AK132" s="437"/>
      <c r="AL132" s="437"/>
      <c r="AM132" s="393"/>
      <c r="AN132" s="437"/>
      <c r="AO132" s="437"/>
      <c r="AP132" s="393"/>
      <c r="AQ132" s="437"/>
      <c r="AR132" s="437"/>
      <c r="AS132" s="393"/>
      <c r="AT132" s="437"/>
      <c r="AU132" s="437"/>
      <c r="AV132" s="393"/>
    </row>
    <row r="133" spans="1:48" x14ac:dyDescent="0.25">
      <c r="A133" s="681"/>
      <c r="B133" s="683"/>
      <c r="C133" s="430" t="s">
        <v>31</v>
      </c>
      <c r="D133" s="431">
        <f t="shared" si="35"/>
        <v>0</v>
      </c>
      <c r="E133" s="432">
        <f t="shared" si="39"/>
        <v>0</v>
      </c>
      <c r="F133" s="433">
        <f t="shared" si="67"/>
        <v>0</v>
      </c>
      <c r="G133" s="437">
        <f t="shared" si="58"/>
        <v>0</v>
      </c>
      <c r="H133" s="437">
        <f t="shared" si="59"/>
        <v>0</v>
      </c>
      <c r="I133" s="393">
        <f t="shared" si="64"/>
        <v>0</v>
      </c>
      <c r="J133" s="437">
        <f t="shared" si="60"/>
        <v>0</v>
      </c>
      <c r="K133" s="437">
        <f t="shared" si="61"/>
        <v>0</v>
      </c>
      <c r="L133" s="393">
        <f t="shared" si="65"/>
        <v>0</v>
      </c>
      <c r="M133" s="437">
        <f t="shared" si="62"/>
        <v>0</v>
      </c>
      <c r="N133" s="437">
        <f t="shared" si="63"/>
        <v>0</v>
      </c>
      <c r="O133" s="393">
        <f t="shared" si="66"/>
        <v>0</v>
      </c>
      <c r="P133" s="437"/>
      <c r="Q133" s="437"/>
      <c r="R133" s="393"/>
      <c r="S133" s="437"/>
      <c r="T133" s="437"/>
      <c r="U133" s="393"/>
      <c r="V133" s="437"/>
      <c r="W133" s="437"/>
      <c r="X133" s="393"/>
      <c r="Y133" s="437"/>
      <c r="Z133" s="437"/>
      <c r="AA133" s="393"/>
      <c r="AB133" s="437"/>
      <c r="AC133" s="437"/>
      <c r="AD133" s="393"/>
      <c r="AE133" s="437"/>
      <c r="AF133" s="437"/>
      <c r="AG133" s="393"/>
      <c r="AH133" s="437"/>
      <c r="AI133" s="437"/>
      <c r="AJ133" s="393"/>
      <c r="AK133" s="437"/>
      <c r="AL133" s="437"/>
      <c r="AM133" s="393"/>
      <c r="AN133" s="437"/>
      <c r="AO133" s="437"/>
      <c r="AP133" s="393"/>
      <c r="AQ133" s="437"/>
      <c r="AR133" s="437"/>
      <c r="AS133" s="393"/>
      <c r="AT133" s="437"/>
      <c r="AU133" s="437"/>
      <c r="AV133" s="393"/>
    </row>
    <row r="134" spans="1:48" x14ac:dyDescent="0.25">
      <c r="A134" s="681"/>
      <c r="B134" s="683"/>
      <c r="C134" s="430" t="s">
        <v>32</v>
      </c>
      <c r="D134" s="431">
        <f t="shared" si="35"/>
        <v>0</v>
      </c>
      <c r="E134" s="432">
        <f t="shared" si="39"/>
        <v>0</v>
      </c>
      <c r="F134" s="433">
        <f t="shared" si="67"/>
        <v>0</v>
      </c>
      <c r="G134" s="437">
        <f t="shared" si="58"/>
        <v>0</v>
      </c>
      <c r="H134" s="437">
        <f t="shared" si="59"/>
        <v>0</v>
      </c>
      <c r="I134" s="393">
        <f t="shared" si="64"/>
        <v>0</v>
      </c>
      <c r="J134" s="437">
        <f t="shared" si="60"/>
        <v>0</v>
      </c>
      <c r="K134" s="437">
        <f t="shared" si="61"/>
        <v>0</v>
      </c>
      <c r="L134" s="393">
        <f t="shared" si="65"/>
        <v>0</v>
      </c>
      <c r="M134" s="437">
        <f t="shared" si="62"/>
        <v>0</v>
      </c>
      <c r="N134" s="437">
        <f t="shared" si="63"/>
        <v>0</v>
      </c>
      <c r="O134" s="393">
        <f t="shared" si="66"/>
        <v>0</v>
      </c>
      <c r="P134" s="437"/>
      <c r="Q134" s="437"/>
      <c r="R134" s="393"/>
      <c r="S134" s="437"/>
      <c r="T134" s="437"/>
      <c r="U134" s="393"/>
      <c r="V134" s="437"/>
      <c r="W134" s="437"/>
      <c r="X134" s="393"/>
      <c r="Y134" s="437"/>
      <c r="Z134" s="437"/>
      <c r="AA134" s="393"/>
      <c r="AB134" s="437"/>
      <c r="AC134" s="437"/>
      <c r="AD134" s="393"/>
      <c r="AE134" s="437"/>
      <c r="AF134" s="437"/>
      <c r="AG134" s="393"/>
      <c r="AH134" s="437"/>
      <c r="AI134" s="437"/>
      <c r="AJ134" s="393"/>
      <c r="AK134" s="437"/>
      <c r="AL134" s="437"/>
      <c r="AM134" s="393"/>
      <c r="AN134" s="437"/>
      <c r="AO134" s="437"/>
      <c r="AP134" s="393"/>
      <c r="AQ134" s="437"/>
      <c r="AR134" s="437"/>
      <c r="AS134" s="393"/>
      <c r="AT134" s="437"/>
      <c r="AU134" s="437"/>
      <c r="AV134" s="393"/>
    </row>
    <row r="135" spans="1:48" x14ac:dyDescent="0.25">
      <c r="A135" s="681"/>
      <c r="B135" s="683"/>
      <c r="C135" s="430" t="s">
        <v>33</v>
      </c>
      <c r="D135" s="431">
        <f t="shared" si="35"/>
        <v>0</v>
      </c>
      <c r="E135" s="432">
        <f t="shared" si="39"/>
        <v>0</v>
      </c>
      <c r="F135" s="433">
        <f t="shared" si="67"/>
        <v>0</v>
      </c>
      <c r="G135" s="437">
        <f t="shared" si="58"/>
        <v>0</v>
      </c>
      <c r="H135" s="437">
        <f t="shared" si="59"/>
        <v>0</v>
      </c>
      <c r="I135" s="393">
        <f t="shared" si="64"/>
        <v>0</v>
      </c>
      <c r="J135" s="437">
        <f t="shared" si="60"/>
        <v>0</v>
      </c>
      <c r="K135" s="437">
        <f t="shared" si="61"/>
        <v>0</v>
      </c>
      <c r="L135" s="393">
        <f t="shared" si="65"/>
        <v>0</v>
      </c>
      <c r="M135" s="437">
        <f t="shared" si="62"/>
        <v>0</v>
      </c>
      <c r="N135" s="437">
        <f t="shared" si="63"/>
        <v>0</v>
      </c>
      <c r="O135" s="393">
        <f t="shared" si="66"/>
        <v>0</v>
      </c>
      <c r="P135" s="437"/>
      <c r="Q135" s="437"/>
      <c r="R135" s="393"/>
      <c r="S135" s="437"/>
      <c r="T135" s="437"/>
      <c r="U135" s="393"/>
      <c r="V135" s="437"/>
      <c r="W135" s="437"/>
      <c r="X135" s="393"/>
      <c r="Y135" s="437"/>
      <c r="Z135" s="437"/>
      <c r="AA135" s="393"/>
      <c r="AB135" s="437"/>
      <c r="AC135" s="437"/>
      <c r="AD135" s="393"/>
      <c r="AE135" s="437"/>
      <c r="AF135" s="437"/>
      <c r="AG135" s="393"/>
      <c r="AH135" s="437"/>
      <c r="AI135" s="437"/>
      <c r="AJ135" s="393"/>
      <c r="AK135" s="437"/>
      <c r="AL135" s="437"/>
      <c r="AM135" s="393"/>
      <c r="AN135" s="437"/>
      <c r="AO135" s="437"/>
      <c r="AP135" s="393"/>
      <c r="AQ135" s="437"/>
      <c r="AR135" s="437"/>
      <c r="AS135" s="393"/>
      <c r="AT135" s="437"/>
      <c r="AU135" s="437"/>
      <c r="AV135" s="393"/>
    </row>
    <row r="136" spans="1:48" ht="15.75" thickBot="1" x14ac:dyDescent="0.3">
      <c r="A136" s="682"/>
      <c r="B136" s="684"/>
      <c r="C136" s="438" t="s">
        <v>34</v>
      </c>
      <c r="D136" s="439">
        <f t="shared" si="35"/>
        <v>0</v>
      </c>
      <c r="E136" s="440">
        <f t="shared" si="39"/>
        <v>0</v>
      </c>
      <c r="F136" s="441">
        <f t="shared" si="67"/>
        <v>0</v>
      </c>
      <c r="G136" s="442">
        <f t="shared" si="58"/>
        <v>0</v>
      </c>
      <c r="H136" s="442">
        <f t="shared" si="59"/>
        <v>0</v>
      </c>
      <c r="I136" s="399">
        <f t="shared" si="64"/>
        <v>0</v>
      </c>
      <c r="J136" s="442">
        <f t="shared" si="60"/>
        <v>0</v>
      </c>
      <c r="K136" s="442">
        <f t="shared" si="61"/>
        <v>0</v>
      </c>
      <c r="L136" s="399">
        <f t="shared" si="65"/>
        <v>0</v>
      </c>
      <c r="M136" s="442">
        <f t="shared" si="62"/>
        <v>0</v>
      </c>
      <c r="N136" s="442">
        <f t="shared" si="63"/>
        <v>0</v>
      </c>
      <c r="O136" s="399">
        <f t="shared" si="66"/>
        <v>0</v>
      </c>
      <c r="P136" s="442"/>
      <c r="Q136" s="442"/>
      <c r="R136" s="399"/>
      <c r="S136" s="442"/>
      <c r="T136" s="442"/>
      <c r="U136" s="399"/>
      <c r="V136" s="442"/>
      <c r="W136" s="442"/>
      <c r="X136" s="399"/>
      <c r="Y136" s="442"/>
      <c r="Z136" s="442"/>
      <c r="AA136" s="399"/>
      <c r="AB136" s="442"/>
      <c r="AC136" s="442"/>
      <c r="AD136" s="399"/>
      <c r="AE136" s="442"/>
      <c r="AF136" s="442"/>
      <c r="AG136" s="399"/>
      <c r="AH136" s="442"/>
      <c r="AI136" s="442"/>
      <c r="AJ136" s="399"/>
      <c r="AK136" s="442"/>
      <c r="AL136" s="442"/>
      <c r="AM136" s="399"/>
      <c r="AN136" s="442"/>
      <c r="AO136" s="442"/>
      <c r="AP136" s="399"/>
      <c r="AQ136" s="442"/>
      <c r="AR136" s="442"/>
      <c r="AS136" s="399"/>
      <c r="AT136" s="442"/>
      <c r="AU136" s="442"/>
      <c r="AV136" s="399"/>
    </row>
  </sheetData>
  <sheetProtection insertColumns="0" deleteColumns="0"/>
  <mergeCells count="81">
    <mergeCell ref="B16:B25"/>
    <mergeCell ref="A16:A25"/>
    <mergeCell ref="AT1:AV1"/>
    <mergeCell ref="AT2:AV2"/>
    <mergeCell ref="AT3:AV3"/>
    <mergeCell ref="AT4:AV4"/>
    <mergeCell ref="AK1:AM1"/>
    <mergeCell ref="AK2:AM2"/>
    <mergeCell ref="AK3:AM3"/>
    <mergeCell ref="AK4:AM4"/>
    <mergeCell ref="AN1:AP1"/>
    <mergeCell ref="AN2:AP2"/>
    <mergeCell ref="AN3:AP3"/>
    <mergeCell ref="AN4:AP4"/>
    <mergeCell ref="AE1:AG1"/>
    <mergeCell ref="AE2:AG2"/>
    <mergeCell ref="AE3:AG3"/>
    <mergeCell ref="AE4:AG4"/>
    <mergeCell ref="AH1:AJ1"/>
    <mergeCell ref="AH2:AJ2"/>
    <mergeCell ref="AH3:AJ3"/>
    <mergeCell ref="AH4:AJ4"/>
    <mergeCell ref="V1:X1"/>
    <mergeCell ref="V2:X2"/>
    <mergeCell ref="V3:X3"/>
    <mergeCell ref="V4:X4"/>
    <mergeCell ref="AQ1:AS1"/>
    <mergeCell ref="AQ2:AS2"/>
    <mergeCell ref="AQ3:AS3"/>
    <mergeCell ref="AQ4:AS4"/>
    <mergeCell ref="Y1:AA1"/>
    <mergeCell ref="Y2:AA2"/>
    <mergeCell ref="Y3:AA3"/>
    <mergeCell ref="Y4:AA4"/>
    <mergeCell ref="AB1:AD1"/>
    <mergeCell ref="AB2:AD2"/>
    <mergeCell ref="AB3:AD3"/>
    <mergeCell ref="AB4:AD4"/>
    <mergeCell ref="P1:R1"/>
    <mergeCell ref="P2:R2"/>
    <mergeCell ref="P3:R3"/>
    <mergeCell ref="P4:R4"/>
    <mergeCell ref="S1:U1"/>
    <mergeCell ref="S2:U2"/>
    <mergeCell ref="S3:U3"/>
    <mergeCell ref="S4:U4"/>
    <mergeCell ref="A26:A35"/>
    <mergeCell ref="B26:B35"/>
    <mergeCell ref="A36:A45"/>
    <mergeCell ref="B36:B45"/>
    <mergeCell ref="A56:A65"/>
    <mergeCell ref="B56:B65"/>
    <mergeCell ref="A46:A55"/>
    <mergeCell ref="B46:B55"/>
    <mergeCell ref="A6:A15"/>
    <mergeCell ref="B6:B15"/>
    <mergeCell ref="J1:L1"/>
    <mergeCell ref="D1:F1"/>
    <mergeCell ref="G1:I1"/>
    <mergeCell ref="G3:I3"/>
    <mergeCell ref="J3:L3"/>
    <mergeCell ref="A67:A76"/>
    <mergeCell ref="B67:B76"/>
    <mergeCell ref="A127:A136"/>
    <mergeCell ref="B127:B136"/>
    <mergeCell ref="A107:A116"/>
    <mergeCell ref="B107:B116"/>
    <mergeCell ref="A87:A96"/>
    <mergeCell ref="B87:B96"/>
    <mergeCell ref="A117:A126"/>
    <mergeCell ref="B117:B126"/>
    <mergeCell ref="A97:A106"/>
    <mergeCell ref="B97:B106"/>
    <mergeCell ref="A77:A86"/>
    <mergeCell ref="B77:B86"/>
    <mergeCell ref="M3:O3"/>
    <mergeCell ref="G4:I4"/>
    <mergeCell ref="J4:L4"/>
    <mergeCell ref="M4:O4"/>
    <mergeCell ref="M1:O1"/>
    <mergeCell ref="M2:O2"/>
  </mergeCells>
  <phoneticPr fontId="74" type="noConversion"/>
  <pageMargins left="0.7" right="0.7" top="0.75" bottom="0.75" header="0.3" footer="0.3"/>
  <pageSetup paperSize="9" scale="3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  <outlinePr summaryBelow="0" summaryRight="0"/>
  </sheetPr>
  <dimension ref="A1:M44"/>
  <sheetViews>
    <sheetView view="pageBreakPreview" topLeftCell="A17" zoomScale="125" zoomScaleNormal="85" zoomScaleSheetLayoutView="154" workbookViewId="0">
      <selection activeCell="B4" sqref="B4"/>
    </sheetView>
  </sheetViews>
  <sheetFormatPr defaultColWidth="8.85546875" defaultRowHeight="15" outlineLevelCol="1" x14ac:dyDescent="0.25"/>
  <cols>
    <col min="2" max="2" width="54.140625" customWidth="1"/>
    <col min="3" max="3" width="18.85546875" customWidth="1"/>
    <col min="4" max="13" width="16" customWidth="1" outlineLevel="1"/>
  </cols>
  <sheetData>
    <row r="1" spans="1:13" ht="21" x14ac:dyDescent="0.35">
      <c r="A1" s="102" t="s">
        <v>100</v>
      </c>
      <c r="B1" s="103"/>
      <c r="D1" s="91"/>
      <c r="E1" s="89"/>
      <c r="F1" s="89"/>
      <c r="G1" s="89"/>
      <c r="H1" s="89"/>
      <c r="I1" s="89"/>
      <c r="J1" s="89"/>
      <c r="K1" s="89"/>
      <c r="L1" s="89"/>
      <c r="M1" s="85"/>
    </row>
    <row r="2" spans="1:13" ht="15.75" x14ac:dyDescent="0.25">
      <c r="A2" s="104"/>
      <c r="B2" s="90"/>
      <c r="D2" s="87"/>
      <c r="E2" s="87"/>
      <c r="F2" s="87"/>
      <c r="G2" s="87"/>
      <c r="H2" s="87"/>
      <c r="I2" s="87"/>
      <c r="J2" s="87"/>
      <c r="K2" s="87"/>
      <c r="L2" s="87"/>
      <c r="M2" s="81"/>
    </row>
    <row r="3" spans="1:13" ht="15.75" x14ac:dyDescent="0.25">
      <c r="A3" s="207" t="s">
        <v>193</v>
      </c>
      <c r="B3" s="90"/>
      <c r="D3" s="81"/>
      <c r="E3" s="81"/>
      <c r="F3" s="81"/>
      <c r="G3" s="81"/>
      <c r="H3" s="81"/>
      <c r="I3" s="81"/>
      <c r="J3" s="81"/>
      <c r="K3" s="81"/>
      <c r="L3" s="81"/>
      <c r="M3" s="81"/>
    </row>
    <row r="4" spans="1:13" x14ac:dyDescent="0.25">
      <c r="D4" s="601"/>
      <c r="E4" s="601"/>
      <c r="F4" s="602"/>
      <c r="G4" s="82"/>
      <c r="H4" s="82"/>
      <c r="I4" s="82"/>
      <c r="J4" s="82"/>
      <c r="K4" s="82"/>
      <c r="L4" s="82"/>
      <c r="M4" s="82"/>
    </row>
    <row r="5" spans="1:13" ht="15.75" thickBot="1" x14ac:dyDescent="0.3">
      <c r="A5" s="91"/>
      <c r="B5" s="92"/>
      <c r="C5" s="86"/>
      <c r="D5" s="699" t="s">
        <v>101</v>
      </c>
      <c r="E5" s="699"/>
      <c r="F5" s="699"/>
      <c r="G5" s="699"/>
      <c r="H5" s="699"/>
      <c r="I5" s="699"/>
      <c r="J5" s="699"/>
      <c r="K5" s="699"/>
      <c r="L5" s="699"/>
      <c r="M5" s="699"/>
    </row>
    <row r="6" spans="1:13" x14ac:dyDescent="0.25">
      <c r="A6" s="204"/>
      <c r="B6" s="201" t="s">
        <v>168</v>
      </c>
      <c r="C6" s="96" t="s">
        <v>105</v>
      </c>
      <c r="D6" s="110" t="s">
        <v>25</v>
      </c>
      <c r="E6" s="111" t="s">
        <v>26</v>
      </c>
      <c r="F6" s="111" t="s">
        <v>27</v>
      </c>
      <c r="G6" s="111" t="s">
        <v>28</v>
      </c>
      <c r="H6" s="111" t="s">
        <v>29</v>
      </c>
      <c r="I6" s="111" t="s">
        <v>30</v>
      </c>
      <c r="J6" s="111" t="s">
        <v>31</v>
      </c>
      <c r="K6" s="111" t="s">
        <v>32</v>
      </c>
      <c r="L6" s="111" t="s">
        <v>33</v>
      </c>
      <c r="M6" s="112" t="s">
        <v>34</v>
      </c>
    </row>
    <row r="7" spans="1:13" x14ac:dyDescent="0.25">
      <c r="A7" s="205"/>
      <c r="B7" s="202" t="s">
        <v>108</v>
      </c>
      <c r="C7" s="97">
        <f t="shared" ref="C7:C14" si="0">SUM(D7:M7)</f>
        <v>1008000</v>
      </c>
      <c r="D7" s="592">
        <f>'TCO TO BE- SW'!$E5+'TCO TO BE- SW'!$E15</f>
        <v>1008000</v>
      </c>
      <c r="E7" s="593">
        <f>'TCO TO BE- SW'!$E6+'TCO TO BE- SW'!$E16</f>
        <v>0</v>
      </c>
      <c r="F7" s="593">
        <f>'TCO TO BE- SW'!$E7+'TCO TO BE- SW'!$E17</f>
        <v>0</v>
      </c>
      <c r="G7" s="94">
        <f>'TCO TO BE- SW'!$E8+'TCO TO BE- SW'!$E18</f>
        <v>0</v>
      </c>
      <c r="H7" s="94">
        <f>'TCO TO BE- SW'!$E9+'TCO TO BE- SW'!$E19</f>
        <v>0</v>
      </c>
      <c r="I7" s="94">
        <f>'TCO TO BE- SW'!$E10+'TCO TO BE- SW'!$E20</f>
        <v>0</v>
      </c>
      <c r="J7" s="94">
        <f>'TCO TO BE- SW'!$E11+'TCO TO BE- SW'!$E21</f>
        <v>0</v>
      </c>
      <c r="K7" s="94">
        <f>'TCO TO BE- SW'!$E12+'TCO TO BE- SW'!$E22</f>
        <v>0</v>
      </c>
      <c r="L7" s="94">
        <f>'TCO TO BE- SW'!$E13+'TCO TO BE- SW'!$E23</f>
        <v>0</v>
      </c>
      <c r="M7" s="114">
        <f>'TCO TO BE- SW'!$E14+'TCO TO BE- SW'!$E24</f>
        <v>0</v>
      </c>
    </row>
    <row r="8" spans="1:13" x14ac:dyDescent="0.25">
      <c r="A8" s="205"/>
      <c r="B8" s="202" t="s">
        <v>109</v>
      </c>
      <c r="C8" s="97">
        <f t="shared" si="0"/>
        <v>933600</v>
      </c>
      <c r="D8" s="592">
        <f>'TCO TO BE- SW'!$E58+'TCO TO BE- SW'!$E68</f>
        <v>240000</v>
      </c>
      <c r="E8" s="593">
        <f>'TCO TO BE- SW'!$E59+'TCO TO BE- SW'!$E69</f>
        <v>346800</v>
      </c>
      <c r="F8" s="593">
        <f>'TCO TO BE- SW'!$E60+'TCO TO BE- SW'!$E70</f>
        <v>346800</v>
      </c>
      <c r="G8" s="94">
        <f>'TCO TO BE- SW'!$E61+'TCO TO BE- SW'!$E71</f>
        <v>0</v>
      </c>
      <c r="H8" s="94">
        <f>'TCO TO BE- SW'!$E62+'TCO TO BE- SW'!$E72</f>
        <v>0</v>
      </c>
      <c r="I8" s="94">
        <f>'TCO TO BE- SW'!$E63+'TCO TO BE- SW'!$E73</f>
        <v>0</v>
      </c>
      <c r="J8" s="94">
        <f>'TCO TO BE- SW'!$E64+'TCO TO BE- SW'!$E74</f>
        <v>0</v>
      </c>
      <c r="K8" s="94">
        <f>'TCO TO BE- SW'!$E65+'TCO TO BE- SW'!$E75</f>
        <v>0</v>
      </c>
      <c r="L8" s="94">
        <f>'TCO TO BE- SW'!$E66+'TCO TO BE- SW'!$E76</f>
        <v>0</v>
      </c>
      <c r="M8" s="114">
        <f>'TCO TO BE- SW'!$E67+'TCO TO BE- SW'!$E77</f>
        <v>0</v>
      </c>
    </row>
    <row r="9" spans="1:13" x14ac:dyDescent="0.25">
      <c r="A9" s="205"/>
      <c r="B9" s="202" t="s">
        <v>110</v>
      </c>
      <c r="C9" s="97">
        <f t="shared" si="0"/>
        <v>0</v>
      </c>
      <c r="D9" s="592">
        <f>'TCO TO BE- SW'!$E26+'TCO TO BE- SW'!$E36+'TCO TO BE- SW'!$E46</f>
        <v>0</v>
      </c>
      <c r="E9" s="593">
        <f>'TCO TO BE- SW'!$E27+'TCO TO BE- SW'!$E37+'TCO TO BE- SW'!$E47</f>
        <v>0</v>
      </c>
      <c r="F9" s="593">
        <f>'TCO TO BE- SW'!$E28+'TCO TO BE- SW'!$E38+'TCO TO BE- SW'!$E48</f>
        <v>0</v>
      </c>
      <c r="G9" s="94">
        <f>'TCO TO BE- SW'!$E29+'TCO TO BE- SW'!$E39+'TCO TO BE- SW'!$E49</f>
        <v>0</v>
      </c>
      <c r="H9" s="94">
        <f>'TCO TO BE- SW'!$E30+'TCO TO BE- SW'!$E40+'TCO TO BE- SW'!$E50</f>
        <v>0</v>
      </c>
      <c r="I9" s="94">
        <f>'TCO TO BE- SW'!$E31+'TCO TO BE- SW'!$E41+'TCO TO BE- SW'!$E51</f>
        <v>0</v>
      </c>
      <c r="J9" s="94">
        <f>'TCO TO BE- SW'!$E32+'TCO TO BE- SW'!$E42+'TCO TO BE- SW'!$E52</f>
        <v>0</v>
      </c>
      <c r="K9" s="94">
        <f>'TCO TO BE- SW'!$E33+'TCO TO BE- SW'!$E43+'TCO TO BE- SW'!$E53</f>
        <v>0</v>
      </c>
      <c r="L9" s="94">
        <f>'TCO TO BE- SW'!$E34+'TCO TO BE- SW'!$E44+'TCO TO BE- SW'!$E54</f>
        <v>0</v>
      </c>
      <c r="M9" s="114">
        <f>'TCO TO BE- SW'!$E35+'TCO TO BE- SW'!$E45+'TCO TO BE- SW'!$E55</f>
        <v>0</v>
      </c>
    </row>
    <row r="10" spans="1:13" x14ac:dyDescent="0.25">
      <c r="A10" s="205"/>
      <c r="B10" s="202" t="s">
        <v>111</v>
      </c>
      <c r="C10" s="97">
        <f t="shared" si="0"/>
        <v>1440000</v>
      </c>
      <c r="D10" s="592">
        <f>'TCO TO BE- SW'!$E79+'TCO TO BE- SW'!$E89+'TCO TO BE- SW'!$E99+'TCO TO BE- SW'!$E109+'TCO TO BE- SW'!$E119</f>
        <v>1056000</v>
      </c>
      <c r="E10" s="593">
        <f>'TCO TO BE- SW'!$E80+'TCO TO BE- SW'!$E90+'TCO TO BE- SW'!$E100+'TCO TO BE- SW'!$E110+'TCO TO BE- SW'!$E120</f>
        <v>240000</v>
      </c>
      <c r="F10" s="593">
        <f>'TCO TO BE- SW'!$E81+'TCO TO BE- SW'!$E91+'TCO TO BE- SW'!$E101+'TCO TO BE- SW'!$E111+'TCO TO BE- SW'!$E121</f>
        <v>144000</v>
      </c>
      <c r="G10" s="94">
        <f>'TCO TO BE- SW'!$E82+'TCO TO BE- SW'!$E92+'TCO TO BE- SW'!$E102+'TCO TO BE- SW'!$E112+'TCO TO BE- SW'!$E122</f>
        <v>0</v>
      </c>
      <c r="H10" s="94">
        <f>'TCO TO BE- SW'!$E83+'TCO TO BE- SW'!$E93+'TCO TO BE- SW'!$E103+'TCO TO BE- SW'!$E113+'TCO TO BE- SW'!$E123</f>
        <v>0</v>
      </c>
      <c r="I10" s="94">
        <f>'TCO TO BE- SW'!$E84+'TCO TO BE- SW'!$E94+'TCO TO BE- SW'!$E104+'TCO TO BE- SW'!$E114+'TCO TO BE- SW'!$E124</f>
        <v>0</v>
      </c>
      <c r="J10" s="94">
        <f>'TCO TO BE- SW'!$E85+'TCO TO BE- SW'!$E95+'TCO TO BE- SW'!$E105+'TCO TO BE- SW'!$E115+'TCO TO BE- SW'!$E125</f>
        <v>0</v>
      </c>
      <c r="K10" s="94">
        <f>'TCO TO BE- SW'!$E86+'TCO TO BE- SW'!$E96+'TCO TO BE- SW'!$E106+'TCO TO BE- SW'!$E116+'TCO TO BE- SW'!$E126</f>
        <v>0</v>
      </c>
      <c r="L10" s="94">
        <f>'TCO TO BE- SW'!$E87+'TCO TO BE- SW'!$E97+'TCO TO BE- SW'!$E107+'TCO TO BE- SW'!$E117+'TCO TO BE- SW'!$E127</f>
        <v>0</v>
      </c>
      <c r="M10" s="114">
        <f>'TCO TO BE- SW'!$E88+'TCO TO BE- SW'!$E98+'TCO TO BE- SW'!$E108+'TCO TO BE- SW'!$E118+'TCO TO BE- SW'!$E128</f>
        <v>0</v>
      </c>
    </row>
    <row r="11" spans="1:13" x14ac:dyDescent="0.25">
      <c r="A11" s="205"/>
      <c r="B11" s="202" t="s">
        <v>347</v>
      </c>
      <c r="C11" s="97">
        <f t="shared" si="0"/>
        <v>0</v>
      </c>
      <c r="D11" s="592">
        <f>'TCO TO BE- SW'!E151+'TCO TO BE- SW'!E161</f>
        <v>0</v>
      </c>
      <c r="E11" s="593">
        <f>'TCO TO BE- SW'!E152+'TCO TO BE- SW'!E162</f>
        <v>0</v>
      </c>
      <c r="F11" s="593">
        <f>'TCO TO BE- SW'!E153+'TCO TO BE- SW'!E163</f>
        <v>0</v>
      </c>
      <c r="G11" s="94">
        <f>'TCO TO BE- SW'!E154+'TCO TO BE- SW'!E164</f>
        <v>0</v>
      </c>
      <c r="H11" s="94">
        <f>'TCO TO BE- SW'!E155+'TCO TO BE- SW'!E165</f>
        <v>0</v>
      </c>
      <c r="I11" s="94">
        <f>'TCO TO BE- SW'!E156+'TCO TO BE- SW'!E166</f>
        <v>0</v>
      </c>
      <c r="J11" s="94">
        <f>'TCO TO BE- SW'!E157+'TCO TO BE- SW'!E167</f>
        <v>0</v>
      </c>
      <c r="K11" s="94">
        <f>'TCO TO BE- SW'!E158+'TCO TO BE- SW'!E168</f>
        <v>0</v>
      </c>
      <c r="L11" s="94">
        <f>'TCO TO BE- SW'!E159+'TCO TO BE- SW'!E169</f>
        <v>0</v>
      </c>
      <c r="M11" s="114">
        <f>'TCO TO BE- SW'!E160+'TCO TO BE- SW'!E170</f>
        <v>0</v>
      </c>
    </row>
    <row r="12" spans="1:13" x14ac:dyDescent="0.25">
      <c r="A12" s="205"/>
      <c r="B12" s="202" t="s">
        <v>102</v>
      </c>
      <c r="C12" s="97">
        <f t="shared" si="0"/>
        <v>0</v>
      </c>
      <c r="D12" s="592">
        <f>'TCO TO BE - HW'!$E4+'TCO TO BE - HW'!$E14+'TCO TO BE - HW'!$E24</f>
        <v>0</v>
      </c>
      <c r="E12" s="593">
        <f>'TCO TO BE - HW'!$E5+'TCO TO BE - HW'!$E15+'TCO TO BE - HW'!$E25</f>
        <v>0</v>
      </c>
      <c r="F12" s="593">
        <f>'TCO TO BE - HW'!$E6+'TCO TO BE - HW'!$E16+'TCO TO BE - HW'!$E26</f>
        <v>0</v>
      </c>
      <c r="G12" s="94">
        <f>'TCO TO BE - HW'!$E7+'TCO TO BE - HW'!$E17+'TCO TO BE - HW'!$E27</f>
        <v>0</v>
      </c>
      <c r="H12" s="94">
        <f>'TCO TO BE - HW'!$E8+'TCO TO BE - HW'!$E18+'TCO TO BE - HW'!$E28</f>
        <v>0</v>
      </c>
      <c r="I12" s="94">
        <f>'TCO TO BE - HW'!$E9+'TCO TO BE - HW'!$E19+'TCO TO BE - HW'!$E29</f>
        <v>0</v>
      </c>
      <c r="J12" s="94">
        <f>'TCO TO BE - HW'!$E10+'TCO TO BE - HW'!$E20+'TCO TO BE - HW'!$E30</f>
        <v>0</v>
      </c>
      <c r="K12" s="94">
        <f>'TCO TO BE - HW'!$E11+'TCO TO BE - HW'!$E21+'TCO TO BE - HW'!$E31</f>
        <v>0</v>
      </c>
      <c r="L12" s="94">
        <f>'TCO TO BE - HW'!$E12+'TCO TO BE - HW'!$E22+'TCO TO BE - HW'!$E32</f>
        <v>0</v>
      </c>
      <c r="M12" s="114">
        <f>'TCO TO BE - HW'!$E13+'TCO TO BE - HW'!$E23+'TCO TO BE - HW'!$E33</f>
        <v>0</v>
      </c>
    </row>
    <row r="13" spans="1:13" x14ac:dyDescent="0.25">
      <c r="A13" s="205"/>
      <c r="B13" s="202" t="s">
        <v>103</v>
      </c>
      <c r="C13" s="97">
        <f t="shared" si="0"/>
        <v>144000</v>
      </c>
      <c r="D13" s="592">
        <f>'TCO TO BE - HW'!$E35+'TCO TO BE - HW'!$E45+'TCO TO BE - HW'!$E55+'TCO TO BE - HW'!$E65+'TCO TO BE - HW'!$E75</f>
        <v>48000</v>
      </c>
      <c r="E13" s="593">
        <f>'TCO TO BE - HW'!$E36+'TCO TO BE - HW'!$E46+'TCO TO BE - HW'!$E56+'TCO TO BE - HW'!$E66+'TCO TO BE - HW'!$E76</f>
        <v>48000</v>
      </c>
      <c r="F13" s="593">
        <f>'TCO TO BE - HW'!$E37+'TCO TO BE - HW'!$E47+'TCO TO BE - HW'!$E57+'TCO TO BE - HW'!$E67+'TCO TO BE - HW'!$E77</f>
        <v>48000</v>
      </c>
      <c r="G13" s="94">
        <f>'TCO TO BE - HW'!$E38+'TCO TO BE - HW'!$E48+'TCO TO BE - HW'!$E58+'TCO TO BE - HW'!$E68+'TCO TO BE - HW'!$E78</f>
        <v>0</v>
      </c>
      <c r="H13" s="94">
        <f>'TCO TO BE - HW'!$E39+'TCO TO BE - HW'!$E49+'TCO TO BE - HW'!$E59+'TCO TO BE - HW'!$E69+'TCO TO BE - HW'!$E79</f>
        <v>0</v>
      </c>
      <c r="I13" s="94">
        <f>'TCO TO BE - HW'!$E40+'TCO TO BE - HW'!$E50+'TCO TO BE - HW'!$E60+'TCO TO BE - HW'!$E70+'TCO TO BE - HW'!$E80</f>
        <v>0</v>
      </c>
      <c r="J13" s="94">
        <f>'TCO TO BE - HW'!$E41+'TCO TO BE - HW'!$E51+'TCO TO BE - HW'!$E61+'TCO TO BE - HW'!$E71+'TCO TO BE - HW'!$E81</f>
        <v>0</v>
      </c>
      <c r="K13" s="94">
        <f>'TCO TO BE - HW'!$E42+'TCO TO BE - HW'!$E52+'TCO TO BE - HW'!$E62+'TCO TO BE - HW'!$E72+'TCO TO BE - HW'!$E82</f>
        <v>0</v>
      </c>
      <c r="L13" s="94">
        <f>'TCO TO BE - HW'!$E43+'TCO TO BE - HW'!$E53+'TCO TO BE - HW'!$E63+'TCO TO BE - HW'!$E73+'TCO TO BE - HW'!$E83</f>
        <v>0</v>
      </c>
      <c r="M13" s="114">
        <f>'TCO TO BE - HW'!$E44+'TCO TO BE - HW'!$E54+'TCO TO BE - HW'!$E64+'TCO TO BE - HW'!$E74+'TCO TO BE - HW'!$E84</f>
        <v>0</v>
      </c>
    </row>
    <row r="14" spans="1:13" ht="15.75" thickBot="1" x14ac:dyDescent="0.3">
      <c r="A14" s="205"/>
      <c r="B14" s="459" t="s">
        <v>314</v>
      </c>
      <c r="C14" s="460">
        <f t="shared" si="0"/>
        <v>72000</v>
      </c>
      <c r="D14" s="594">
        <f>'TCO TO BE- SW'!E130+'TCO TO BE- SW'!E140</f>
        <v>48000</v>
      </c>
      <c r="E14" s="595">
        <f>'TCO TO BE- SW'!E131+'TCO TO BE- SW'!E141</f>
        <v>12000</v>
      </c>
      <c r="F14" s="595">
        <f>'TCO TO BE- SW'!E132+'TCO TO BE- SW'!E142</f>
        <v>12000</v>
      </c>
      <c r="G14" s="465">
        <f>'TCO TO BE- SW'!E133+'TCO TO BE- SW'!E143</f>
        <v>0</v>
      </c>
      <c r="H14" s="465">
        <f>'TCO TO BE- SW'!E134+'TCO TO BE- SW'!E144</f>
        <v>0</v>
      </c>
      <c r="I14" s="465">
        <f>'TCO TO BE- SW'!E135+'TCO TO BE- SW'!E145</f>
        <v>0</v>
      </c>
      <c r="J14" s="465">
        <f>'TCO TO BE- SW'!E136+'TCO TO BE- SW'!E146</f>
        <v>0</v>
      </c>
      <c r="K14" s="465">
        <f>'TCO TO BE- SW'!E137+'TCO TO BE- SW'!E147</f>
        <v>0</v>
      </c>
      <c r="L14" s="465">
        <f>'TCO TO BE- SW'!E138+'TCO TO BE- SW'!E148</f>
        <v>0</v>
      </c>
      <c r="M14" s="466">
        <f>'TCO TO BE- SW'!E139+'TCO TO BE- SW'!E149</f>
        <v>0</v>
      </c>
    </row>
    <row r="15" spans="1:13" ht="15.75" thickBot="1" x14ac:dyDescent="0.3">
      <c r="A15" s="206"/>
      <c r="B15" s="203" t="s">
        <v>104</v>
      </c>
      <c r="C15" s="99">
        <f>SUM(C7:C14)</f>
        <v>3597600</v>
      </c>
      <c r="D15" s="95">
        <f>SUM(D7:D13)</f>
        <v>2352000</v>
      </c>
      <c r="E15" s="84">
        <f t="shared" ref="E15:M15" si="1">SUM(E7:E13)</f>
        <v>634800</v>
      </c>
      <c r="F15" s="84">
        <f t="shared" si="1"/>
        <v>538800</v>
      </c>
      <c r="G15" s="84">
        <f t="shared" si="1"/>
        <v>0</v>
      </c>
      <c r="H15" s="84">
        <f t="shared" si="1"/>
        <v>0</v>
      </c>
      <c r="I15" s="84">
        <f t="shared" si="1"/>
        <v>0</v>
      </c>
      <c r="J15" s="84">
        <f t="shared" si="1"/>
        <v>0</v>
      </c>
      <c r="K15" s="84">
        <f t="shared" si="1"/>
        <v>0</v>
      </c>
      <c r="L15" s="101">
        <f t="shared" si="1"/>
        <v>0</v>
      </c>
      <c r="M15" s="100">
        <f t="shared" si="1"/>
        <v>0</v>
      </c>
    </row>
    <row r="16" spans="1:13" x14ac:dyDescent="0.25">
      <c r="A16" s="82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</row>
    <row r="17" spans="1:13" x14ac:dyDescent="0.25">
      <c r="A17" s="82"/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</row>
    <row r="18" spans="1:13" ht="32.25" customHeight="1" x14ac:dyDescent="0.25">
      <c r="A18" s="700" t="s">
        <v>116</v>
      </c>
      <c r="B18" s="700"/>
      <c r="C18" s="700"/>
      <c r="D18" s="88"/>
      <c r="E18" s="87"/>
      <c r="F18" s="87"/>
      <c r="G18" s="87"/>
      <c r="H18" s="87"/>
      <c r="I18" s="87"/>
      <c r="J18" s="87"/>
      <c r="K18" s="87"/>
      <c r="L18" s="87"/>
      <c r="M18" s="81"/>
    </row>
    <row r="19" spans="1:13" x14ac:dyDescent="0.25">
      <c r="A19" s="82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</row>
    <row r="20" spans="1:13" ht="15.75" thickBot="1" x14ac:dyDescent="0.3">
      <c r="A20" s="91"/>
      <c r="B20" s="92"/>
      <c r="C20" s="86"/>
      <c r="D20" s="699" t="s">
        <v>101</v>
      </c>
      <c r="E20" s="699"/>
      <c r="F20" s="699"/>
      <c r="G20" s="699"/>
      <c r="H20" s="699"/>
      <c r="I20" s="699"/>
      <c r="J20" s="699"/>
      <c r="K20" s="699"/>
      <c r="L20" s="699"/>
      <c r="M20" s="699"/>
    </row>
    <row r="21" spans="1:13" ht="17.100000000000001" customHeight="1" x14ac:dyDescent="0.25">
      <c r="A21" s="204"/>
      <c r="B21" s="200" t="s">
        <v>227</v>
      </c>
      <c r="C21" s="96" t="s">
        <v>105</v>
      </c>
      <c r="D21" s="110" t="s">
        <v>25</v>
      </c>
      <c r="E21" s="111" t="s">
        <v>26</v>
      </c>
      <c r="F21" s="111" t="s">
        <v>27</v>
      </c>
      <c r="G21" s="111" t="s">
        <v>28</v>
      </c>
      <c r="H21" s="111" t="s">
        <v>29</v>
      </c>
      <c r="I21" s="111" t="s">
        <v>30</v>
      </c>
      <c r="J21" s="111" t="s">
        <v>31</v>
      </c>
      <c r="K21" s="111" t="s">
        <v>32</v>
      </c>
      <c r="L21" s="111" t="s">
        <v>33</v>
      </c>
      <c r="M21" s="112" t="s">
        <v>34</v>
      </c>
    </row>
    <row r="22" spans="1:13" ht="15" customHeight="1" x14ac:dyDescent="0.25">
      <c r="A22" s="205"/>
      <c r="B22" s="108" t="s">
        <v>108</v>
      </c>
      <c r="C22" s="97">
        <v>0</v>
      </c>
      <c r="D22" s="113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  <c r="L22" s="94">
        <v>0</v>
      </c>
      <c r="M22" s="114">
        <v>0</v>
      </c>
    </row>
    <row r="23" spans="1:13" ht="17.25" customHeight="1" x14ac:dyDescent="0.25">
      <c r="A23" s="205"/>
      <c r="B23" s="108" t="s">
        <v>109</v>
      </c>
      <c r="C23" s="97">
        <f>SUM(D23:M23)</f>
        <v>718344</v>
      </c>
      <c r="D23" s="113">
        <f>'TCO AS IS - SW'!E5+'TCO AS IS - SW'!E15</f>
        <v>239448</v>
      </c>
      <c r="E23" s="94">
        <f>'TCO AS IS - SW'!E6+'TCO AS IS - SW'!E16</f>
        <v>239448</v>
      </c>
      <c r="F23" s="94">
        <f>'TCO AS IS - SW'!E7+'TCO AS IS - SW'!E17</f>
        <v>239448</v>
      </c>
      <c r="G23" s="94">
        <f>'TCO AS IS - SW'!E8+'TCO AS IS - SW'!E18</f>
        <v>0</v>
      </c>
      <c r="H23" s="94">
        <f>'TCO AS IS - SW'!E9+'TCO AS IS - SW'!E19</f>
        <v>0</v>
      </c>
      <c r="I23" s="94">
        <f>'TCO AS IS - SW'!E10+'TCO AS IS - SW'!E20</f>
        <v>0</v>
      </c>
      <c r="J23" s="94">
        <f>'TCO AS IS - SW'!E11+'TCO AS IS - SW'!E21</f>
        <v>0</v>
      </c>
      <c r="K23" s="94">
        <f>'TCO AS IS - SW'!E12+'TCO AS IS - SW'!E22</f>
        <v>0</v>
      </c>
      <c r="L23" s="94">
        <f>'TCO AS IS - SW'!E13+'TCO AS IS - SW'!E23</f>
        <v>0</v>
      </c>
      <c r="M23" s="114">
        <f>'TCO AS IS - SW'!E14+'TCO AS IS - SW'!E24</f>
        <v>0</v>
      </c>
    </row>
    <row r="24" spans="1:13" x14ac:dyDescent="0.25">
      <c r="A24" s="205"/>
      <c r="B24" s="108" t="s">
        <v>110</v>
      </c>
      <c r="C24" s="97">
        <v>0</v>
      </c>
      <c r="D24" s="113">
        <v>0</v>
      </c>
      <c r="E24" s="94">
        <v>0</v>
      </c>
      <c r="F24" s="94">
        <v>0</v>
      </c>
      <c r="G24" s="94">
        <v>0</v>
      </c>
      <c r="H24" s="94">
        <v>0</v>
      </c>
      <c r="I24" s="94">
        <v>0</v>
      </c>
      <c r="J24" s="94">
        <v>0</v>
      </c>
      <c r="K24" s="94">
        <v>0</v>
      </c>
      <c r="L24" s="94">
        <v>0</v>
      </c>
      <c r="M24" s="114">
        <v>0</v>
      </c>
    </row>
    <row r="25" spans="1:13" x14ac:dyDescent="0.25">
      <c r="A25" s="205"/>
      <c r="B25" s="108" t="s">
        <v>111</v>
      </c>
      <c r="C25" s="97">
        <f>SUM(D25:M25)</f>
        <v>0</v>
      </c>
      <c r="D25" s="113">
        <f>'TCO AS IS - SW'!E26+'TCO AS IS - SW'!E36+'TCO AS IS - SW'!E46+'TCO AS IS - SW'!E56+'TCO AS IS - SW'!E66</f>
        <v>0</v>
      </c>
      <c r="E25" s="94">
        <f>'TCO AS IS - SW'!E27+'TCO AS IS - SW'!E37+'TCO AS IS - SW'!E47+'TCO AS IS - SW'!E57+'TCO AS IS - SW'!E67</f>
        <v>0</v>
      </c>
      <c r="F25" s="94">
        <f>'TCO AS IS - SW'!E28+'TCO AS IS - SW'!E38+'TCO AS IS - SW'!E48+'TCO AS IS - SW'!E58+'TCO AS IS - SW'!E68</f>
        <v>0</v>
      </c>
      <c r="G25" s="94">
        <f>'TCO AS IS - SW'!E29+'TCO AS IS - SW'!E39+'TCO AS IS - SW'!E49+'TCO AS IS - SW'!E59+'TCO AS IS - SW'!E69</f>
        <v>0</v>
      </c>
      <c r="H25" s="94">
        <f>'TCO AS IS - SW'!E30+'TCO AS IS - SW'!E40+'TCO AS IS - SW'!E50+'TCO AS IS - SW'!E60+'TCO AS IS - SW'!E70</f>
        <v>0</v>
      </c>
      <c r="I25" s="94">
        <f>'TCO AS IS - SW'!E31+'TCO AS IS - SW'!E41+'TCO AS IS - SW'!E51+'TCO AS IS - SW'!E61+'TCO AS IS - SW'!E71</f>
        <v>0</v>
      </c>
      <c r="J25" s="94">
        <f>'TCO AS IS - SW'!E32+'TCO AS IS - SW'!E42+'TCO AS IS - SW'!E52+'TCO AS IS - SW'!E62+'TCO AS IS - SW'!E72</f>
        <v>0</v>
      </c>
      <c r="K25" s="94">
        <f>'TCO AS IS - SW'!E33+'TCO AS IS - SW'!E43+'TCO AS IS - SW'!E53+'TCO AS IS - SW'!E63+'TCO AS IS - SW'!E73</f>
        <v>0</v>
      </c>
      <c r="L25" s="94">
        <f>'TCO AS IS - SW'!E34+'TCO AS IS - SW'!E44+'TCO AS IS - SW'!E54+'TCO AS IS - SW'!E64+'TCO AS IS - SW'!E74</f>
        <v>0</v>
      </c>
      <c r="M25" s="114">
        <f>'TCO AS IS - SW'!E35+'TCO AS IS - SW'!E45+'TCO AS IS - SW'!E55+'TCO AS IS - SW'!E65+'TCO AS IS - SW'!E75</f>
        <v>0</v>
      </c>
    </row>
    <row r="26" spans="1:13" x14ac:dyDescent="0.25">
      <c r="A26" s="205"/>
      <c r="B26" s="108" t="s">
        <v>102</v>
      </c>
      <c r="C26" s="97">
        <v>0</v>
      </c>
      <c r="D26" s="113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  <c r="L26" s="94">
        <v>0</v>
      </c>
      <c r="M26" s="114">
        <v>0</v>
      </c>
    </row>
    <row r="27" spans="1:13" ht="15.75" thickBot="1" x14ac:dyDescent="0.3">
      <c r="A27" s="205"/>
      <c r="B27" s="109" t="s">
        <v>103</v>
      </c>
      <c r="C27" s="98">
        <f>SUM(D27:M27)</f>
        <v>0</v>
      </c>
      <c r="D27" s="115">
        <f>'TCO AS IS - HW'!E4+'TCO AS IS - HW'!E14+'TCO AS IS - HW'!E24+'TCO AS IS - HW'!E34+'TCO AS IS - HW'!E44</f>
        <v>0</v>
      </c>
      <c r="E27" s="116">
        <f>'TCO AS IS - HW'!E5+'TCO AS IS - HW'!E15+'TCO AS IS - HW'!E25+'TCO AS IS - HW'!E35+'TCO AS IS - HW'!E45</f>
        <v>0</v>
      </c>
      <c r="F27" s="116">
        <f>'TCO AS IS - HW'!E6+'TCO AS IS - HW'!E16+'TCO AS IS - HW'!E26+'TCO AS IS - HW'!E36+'TCO AS IS - HW'!E46</f>
        <v>0</v>
      </c>
      <c r="G27" s="116">
        <f>'TCO AS IS - HW'!E7+'TCO AS IS - HW'!E17+'TCO AS IS - HW'!E27+'TCO AS IS - HW'!E37+'TCO AS IS - HW'!E47</f>
        <v>0</v>
      </c>
      <c r="H27" s="116">
        <f>'TCO AS IS - HW'!E8+'TCO AS IS - HW'!E18+'TCO AS IS - HW'!E28+'TCO AS IS - HW'!E38+'TCO AS IS - HW'!E48</f>
        <v>0</v>
      </c>
      <c r="I27" s="116">
        <f>'TCO AS IS - HW'!E9+'TCO AS IS - HW'!E19+'TCO AS IS - HW'!E29+'TCO AS IS - HW'!E39+'TCO AS IS - HW'!E49</f>
        <v>0</v>
      </c>
      <c r="J27" s="116">
        <f>'TCO AS IS - HW'!E10+'TCO AS IS - HW'!E20+'TCO AS IS - HW'!E30+'TCO AS IS - HW'!E40+'TCO AS IS - HW'!E50</f>
        <v>0</v>
      </c>
      <c r="K27" s="116">
        <f>'TCO AS IS - HW'!E11+'TCO AS IS - HW'!E21+'TCO AS IS - HW'!E31+'TCO AS IS - HW'!E41+'TCO AS IS - HW'!E51</f>
        <v>0</v>
      </c>
      <c r="L27" s="116">
        <f>'TCO AS IS - HW'!E12+'TCO AS IS - HW'!E22+'TCO AS IS - HW'!E32+'TCO AS IS - HW'!E42+'TCO AS IS - HW'!E52</f>
        <v>0</v>
      </c>
      <c r="M27" s="117">
        <f>'TCO AS IS - HW'!E13+'TCO AS IS - HW'!E23+'TCO AS IS - HW'!E33+'TCO AS IS - HW'!E43+'TCO AS IS - HW'!E53</f>
        <v>0</v>
      </c>
    </row>
    <row r="28" spans="1:13" ht="15.75" thickBot="1" x14ac:dyDescent="0.3">
      <c r="A28" s="206"/>
      <c r="B28" s="93" t="s">
        <v>104</v>
      </c>
      <c r="C28" s="99">
        <f t="shared" ref="C28:M28" si="2">SUM(C22:C27)</f>
        <v>718344</v>
      </c>
      <c r="D28" s="95">
        <f t="shared" si="2"/>
        <v>239448</v>
      </c>
      <c r="E28" s="84">
        <f t="shared" si="2"/>
        <v>239448</v>
      </c>
      <c r="F28" s="84">
        <f t="shared" si="2"/>
        <v>239448</v>
      </c>
      <c r="G28" s="84">
        <f t="shared" si="2"/>
        <v>0</v>
      </c>
      <c r="H28" s="84">
        <f t="shared" si="2"/>
        <v>0</v>
      </c>
      <c r="I28" s="84">
        <f t="shared" si="2"/>
        <v>0</v>
      </c>
      <c r="J28" s="84">
        <f t="shared" si="2"/>
        <v>0</v>
      </c>
      <c r="K28" s="84">
        <f t="shared" si="2"/>
        <v>0</v>
      </c>
      <c r="L28" s="101">
        <f t="shared" si="2"/>
        <v>0</v>
      </c>
      <c r="M28" s="100">
        <f t="shared" si="2"/>
        <v>0</v>
      </c>
    </row>
    <row r="29" spans="1:13" x14ac:dyDescent="0.25">
      <c r="A29" s="197"/>
      <c r="B29" s="198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</row>
    <row r="32" spans="1:13" ht="15.75" customHeight="1" x14ac:dyDescent="0.25">
      <c r="A32" s="700" t="s">
        <v>212</v>
      </c>
      <c r="B32" s="700"/>
      <c r="C32" s="700"/>
    </row>
    <row r="34" spans="1:13" ht="15.75" thickBot="1" x14ac:dyDescent="0.3"/>
    <row r="35" spans="1:13" x14ac:dyDescent="0.25">
      <c r="A35" s="204"/>
      <c r="B35" s="200" t="s">
        <v>157</v>
      </c>
      <c r="C35" s="147" t="s">
        <v>105</v>
      </c>
      <c r="D35" s="148" t="s">
        <v>25</v>
      </c>
      <c r="E35" s="149" t="s">
        <v>26</v>
      </c>
      <c r="F35" s="149" t="s">
        <v>27</v>
      </c>
      <c r="G35" s="149" t="s">
        <v>28</v>
      </c>
      <c r="H35" s="149" t="s">
        <v>29</v>
      </c>
      <c r="I35" s="149" t="s">
        <v>30</v>
      </c>
      <c r="J35" s="149" t="s">
        <v>31</v>
      </c>
      <c r="K35" s="149" t="s">
        <v>32</v>
      </c>
      <c r="L35" s="149" t="s">
        <v>33</v>
      </c>
      <c r="M35" s="150" t="s">
        <v>34</v>
      </c>
    </row>
    <row r="36" spans="1:13" x14ac:dyDescent="0.25">
      <c r="A36" s="205"/>
      <c r="B36" s="151" t="s">
        <v>108</v>
      </c>
      <c r="C36" s="152">
        <f>SUM(D36:M36)</f>
        <v>1008000</v>
      </c>
      <c r="D36" s="153">
        <f t="shared" ref="D36:M36" si="3">D7-D22</f>
        <v>1008000</v>
      </c>
      <c r="E36" s="154">
        <f t="shared" si="3"/>
        <v>0</v>
      </c>
      <c r="F36" s="154">
        <f t="shared" si="3"/>
        <v>0</v>
      </c>
      <c r="G36" s="154">
        <f t="shared" si="3"/>
        <v>0</v>
      </c>
      <c r="H36" s="154">
        <f t="shared" si="3"/>
        <v>0</v>
      </c>
      <c r="I36" s="154">
        <f t="shared" si="3"/>
        <v>0</v>
      </c>
      <c r="J36" s="154">
        <f t="shared" si="3"/>
        <v>0</v>
      </c>
      <c r="K36" s="154">
        <f t="shared" si="3"/>
        <v>0</v>
      </c>
      <c r="L36" s="154">
        <f t="shared" si="3"/>
        <v>0</v>
      </c>
      <c r="M36" s="164">
        <f t="shared" si="3"/>
        <v>0</v>
      </c>
    </row>
    <row r="37" spans="1:13" x14ac:dyDescent="0.25">
      <c r="A37" s="205"/>
      <c r="B37" s="156" t="s">
        <v>109</v>
      </c>
      <c r="C37" s="152">
        <f t="shared" ref="C37:C43" si="4">SUM(D37:M37)</f>
        <v>215256</v>
      </c>
      <c r="D37" s="153">
        <f t="shared" ref="D37:M37" si="5">D8-D23</f>
        <v>552</v>
      </c>
      <c r="E37" s="154">
        <f t="shared" si="5"/>
        <v>107352</v>
      </c>
      <c r="F37" s="154">
        <f t="shared" si="5"/>
        <v>107352</v>
      </c>
      <c r="G37" s="154">
        <f t="shared" si="5"/>
        <v>0</v>
      </c>
      <c r="H37" s="154">
        <f t="shared" si="5"/>
        <v>0</v>
      </c>
      <c r="I37" s="154">
        <f t="shared" si="5"/>
        <v>0</v>
      </c>
      <c r="J37" s="154">
        <f t="shared" si="5"/>
        <v>0</v>
      </c>
      <c r="K37" s="154">
        <f t="shared" si="5"/>
        <v>0</v>
      </c>
      <c r="L37" s="165">
        <f t="shared" si="5"/>
        <v>0</v>
      </c>
      <c r="M37" s="155">
        <f t="shared" si="5"/>
        <v>0</v>
      </c>
    </row>
    <row r="38" spans="1:13" x14ac:dyDescent="0.25">
      <c r="A38" s="205"/>
      <c r="B38" s="151" t="s">
        <v>110</v>
      </c>
      <c r="C38" s="152">
        <f t="shared" si="4"/>
        <v>0</v>
      </c>
      <c r="D38" s="153">
        <f t="shared" ref="D38:M38" si="6">D9-D24</f>
        <v>0</v>
      </c>
      <c r="E38" s="154">
        <f t="shared" si="6"/>
        <v>0</v>
      </c>
      <c r="F38" s="154">
        <f t="shared" si="6"/>
        <v>0</v>
      </c>
      <c r="G38" s="154">
        <f t="shared" si="6"/>
        <v>0</v>
      </c>
      <c r="H38" s="154">
        <f t="shared" si="6"/>
        <v>0</v>
      </c>
      <c r="I38" s="154">
        <f t="shared" si="6"/>
        <v>0</v>
      </c>
      <c r="J38" s="154">
        <f t="shared" si="6"/>
        <v>0</v>
      </c>
      <c r="K38" s="154">
        <f t="shared" si="6"/>
        <v>0</v>
      </c>
      <c r="L38" s="165">
        <f t="shared" si="6"/>
        <v>0</v>
      </c>
      <c r="M38" s="155">
        <f t="shared" si="6"/>
        <v>0</v>
      </c>
    </row>
    <row r="39" spans="1:13" x14ac:dyDescent="0.25">
      <c r="A39" s="205"/>
      <c r="B39" s="108" t="s">
        <v>111</v>
      </c>
      <c r="C39" s="152">
        <f t="shared" si="4"/>
        <v>1440000</v>
      </c>
      <c r="D39" s="153">
        <f t="shared" ref="D39:M39" si="7">D10-D25</f>
        <v>1056000</v>
      </c>
      <c r="E39" s="154">
        <f t="shared" si="7"/>
        <v>240000</v>
      </c>
      <c r="F39" s="154">
        <f t="shared" si="7"/>
        <v>144000</v>
      </c>
      <c r="G39" s="154">
        <f t="shared" si="7"/>
        <v>0</v>
      </c>
      <c r="H39" s="154">
        <f t="shared" si="7"/>
        <v>0</v>
      </c>
      <c r="I39" s="154">
        <f t="shared" si="7"/>
        <v>0</v>
      </c>
      <c r="J39" s="154">
        <f t="shared" si="7"/>
        <v>0</v>
      </c>
      <c r="K39" s="154">
        <f t="shared" si="7"/>
        <v>0</v>
      </c>
      <c r="L39" s="165">
        <f t="shared" si="7"/>
        <v>0</v>
      </c>
      <c r="M39" s="155">
        <f t="shared" si="7"/>
        <v>0</v>
      </c>
    </row>
    <row r="40" spans="1:13" x14ac:dyDescent="0.25">
      <c r="A40" s="205"/>
      <c r="B40" s="108" t="s">
        <v>347</v>
      </c>
      <c r="C40" s="152">
        <f t="shared" si="4"/>
        <v>0</v>
      </c>
      <c r="D40" s="153">
        <f t="shared" ref="D40:M40" si="8">D11</f>
        <v>0</v>
      </c>
      <c r="E40" s="154">
        <f t="shared" si="8"/>
        <v>0</v>
      </c>
      <c r="F40" s="154">
        <f t="shared" si="8"/>
        <v>0</v>
      </c>
      <c r="G40" s="154">
        <f t="shared" si="8"/>
        <v>0</v>
      </c>
      <c r="H40" s="154">
        <f t="shared" si="8"/>
        <v>0</v>
      </c>
      <c r="I40" s="154">
        <f t="shared" si="8"/>
        <v>0</v>
      </c>
      <c r="J40" s="154">
        <f t="shared" si="8"/>
        <v>0</v>
      </c>
      <c r="K40" s="154">
        <f t="shared" si="8"/>
        <v>0</v>
      </c>
      <c r="L40" s="165">
        <f t="shared" si="8"/>
        <v>0</v>
      </c>
      <c r="M40" s="155">
        <f t="shared" si="8"/>
        <v>0</v>
      </c>
    </row>
    <row r="41" spans="1:13" x14ac:dyDescent="0.25">
      <c r="A41" s="205"/>
      <c r="B41" s="108" t="s">
        <v>159</v>
      </c>
      <c r="C41" s="152">
        <f t="shared" si="4"/>
        <v>0</v>
      </c>
      <c r="D41" s="153">
        <f t="shared" ref="D41:M41" si="9">D12-D26</f>
        <v>0</v>
      </c>
      <c r="E41" s="154">
        <f t="shared" si="9"/>
        <v>0</v>
      </c>
      <c r="F41" s="154">
        <f t="shared" si="9"/>
        <v>0</v>
      </c>
      <c r="G41" s="154">
        <f t="shared" si="9"/>
        <v>0</v>
      </c>
      <c r="H41" s="154">
        <f t="shared" si="9"/>
        <v>0</v>
      </c>
      <c r="I41" s="154">
        <f t="shared" si="9"/>
        <v>0</v>
      </c>
      <c r="J41" s="154">
        <f t="shared" si="9"/>
        <v>0</v>
      </c>
      <c r="K41" s="154">
        <f t="shared" si="9"/>
        <v>0</v>
      </c>
      <c r="L41" s="165">
        <f t="shared" si="9"/>
        <v>0</v>
      </c>
      <c r="M41" s="155">
        <f t="shared" si="9"/>
        <v>0</v>
      </c>
    </row>
    <row r="42" spans="1:13" x14ac:dyDescent="0.25">
      <c r="A42" s="205"/>
      <c r="B42" s="157" t="s">
        <v>160</v>
      </c>
      <c r="C42" s="158">
        <f t="shared" si="4"/>
        <v>144000</v>
      </c>
      <c r="D42" s="153">
        <f t="shared" ref="D42:M42" si="10">D13-D27</f>
        <v>48000</v>
      </c>
      <c r="E42" s="154">
        <f t="shared" si="10"/>
        <v>48000</v>
      </c>
      <c r="F42" s="154">
        <f t="shared" si="10"/>
        <v>48000</v>
      </c>
      <c r="G42" s="154">
        <f t="shared" si="10"/>
        <v>0</v>
      </c>
      <c r="H42" s="154">
        <f t="shared" si="10"/>
        <v>0</v>
      </c>
      <c r="I42" s="154">
        <f t="shared" si="10"/>
        <v>0</v>
      </c>
      <c r="J42" s="154">
        <f t="shared" si="10"/>
        <v>0</v>
      </c>
      <c r="K42" s="154">
        <f t="shared" si="10"/>
        <v>0</v>
      </c>
      <c r="L42" s="165">
        <f t="shared" si="10"/>
        <v>0</v>
      </c>
      <c r="M42" s="155">
        <f t="shared" si="10"/>
        <v>0</v>
      </c>
    </row>
    <row r="43" spans="1:13" ht="15.75" thickBot="1" x14ac:dyDescent="0.3">
      <c r="A43" s="205"/>
      <c r="B43" s="108" t="s">
        <v>314</v>
      </c>
      <c r="C43" s="152">
        <f t="shared" si="4"/>
        <v>72000</v>
      </c>
      <c r="D43" s="153">
        <f t="shared" ref="D43:M43" si="11">D14</f>
        <v>48000</v>
      </c>
      <c r="E43" s="154">
        <f t="shared" si="11"/>
        <v>12000</v>
      </c>
      <c r="F43" s="154">
        <f t="shared" si="11"/>
        <v>12000</v>
      </c>
      <c r="G43" s="154">
        <f t="shared" si="11"/>
        <v>0</v>
      </c>
      <c r="H43" s="154">
        <f t="shared" si="11"/>
        <v>0</v>
      </c>
      <c r="I43" s="154">
        <f t="shared" si="11"/>
        <v>0</v>
      </c>
      <c r="J43" s="154">
        <f t="shared" si="11"/>
        <v>0</v>
      </c>
      <c r="K43" s="154">
        <f t="shared" si="11"/>
        <v>0</v>
      </c>
      <c r="L43" s="165">
        <f t="shared" si="11"/>
        <v>0</v>
      </c>
      <c r="M43" s="155">
        <f t="shared" si="11"/>
        <v>0</v>
      </c>
    </row>
    <row r="44" spans="1:13" ht="15.75" thickBot="1" x14ac:dyDescent="0.3">
      <c r="A44" s="206"/>
      <c r="B44" s="93" t="s">
        <v>104</v>
      </c>
      <c r="C44" s="159">
        <f>SUM(D44:M44)</f>
        <v>2855256</v>
      </c>
      <c r="D44" s="160">
        <f>SUM(D36:D43)</f>
        <v>2160552</v>
      </c>
      <c r="E44" s="161">
        <f t="shared" ref="E44:M44" si="12">SUM(E36:E42)</f>
        <v>395352</v>
      </c>
      <c r="F44" s="161">
        <f t="shared" si="12"/>
        <v>299352</v>
      </c>
      <c r="G44" s="161">
        <f t="shared" si="12"/>
        <v>0</v>
      </c>
      <c r="H44" s="161">
        <f t="shared" si="12"/>
        <v>0</v>
      </c>
      <c r="I44" s="161">
        <f t="shared" si="12"/>
        <v>0</v>
      </c>
      <c r="J44" s="161">
        <f t="shared" si="12"/>
        <v>0</v>
      </c>
      <c r="K44" s="161">
        <f t="shared" si="12"/>
        <v>0</v>
      </c>
      <c r="L44" s="162">
        <f t="shared" si="12"/>
        <v>0</v>
      </c>
      <c r="M44" s="163">
        <f t="shared" si="12"/>
        <v>0</v>
      </c>
    </row>
  </sheetData>
  <mergeCells count="4">
    <mergeCell ref="D5:M5"/>
    <mergeCell ref="A18:C18"/>
    <mergeCell ref="D20:M20"/>
    <mergeCell ref="A32:C32"/>
  </mergeCells>
  <phoneticPr fontId="74" type="noConversion"/>
  <pageMargins left="0.7" right="0.7" top="0.75" bottom="0.75" header="0.3" footer="0.3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21</vt:i4>
      </vt:variant>
    </vt:vector>
  </HeadingPairs>
  <TitlesOfParts>
    <vt:vector size="21" baseType="lpstr">
      <vt:lpstr>Úvod</vt:lpstr>
      <vt:lpstr>Zoznam hárkov</vt:lpstr>
      <vt:lpstr>Sumarizácia</vt:lpstr>
      <vt:lpstr>CBA - Agendové IS</vt:lpstr>
      <vt:lpstr>Analyza citlivosti - AgendovéIS</vt:lpstr>
      <vt:lpstr>Prínosy - Agendové IS</vt:lpstr>
      <vt:lpstr>Výdavky - Agendové IS</vt:lpstr>
      <vt:lpstr>Parametre - Agendové IS</vt:lpstr>
      <vt:lpstr>TCO</vt:lpstr>
      <vt:lpstr>TCO AS IS - SW</vt:lpstr>
      <vt:lpstr>TCO AS IS - HW</vt:lpstr>
      <vt:lpstr>TCO TO BE- SW</vt:lpstr>
      <vt:lpstr>TCO TO BE - HW</vt:lpstr>
      <vt:lpstr>Rozpočet - vývoj Aplikácií</vt:lpstr>
      <vt:lpstr>Rozpočet - HW a licencie</vt:lpstr>
      <vt:lpstr>Slepý rozpočet</vt:lpstr>
      <vt:lpstr>Faktory</vt:lpstr>
      <vt:lpstr>Procesné mapy</vt:lpstr>
      <vt:lpstr>Procesy - AS IS</vt:lpstr>
      <vt:lpstr>Procesy - TO BE</vt:lpstr>
      <vt:lpstr>Rozdelenie prínosov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Lukáč Peter</dc:creator>
  <cp:keywords/>
  <dc:description/>
  <cp:lastModifiedBy>Lukáč Peter</cp:lastModifiedBy>
  <cp:lastPrinted>2018-08-24T09:21:09Z</cp:lastPrinted>
  <dcterms:created xsi:type="dcterms:W3CDTF">2015-01-29T13:50:20Z</dcterms:created>
  <dcterms:modified xsi:type="dcterms:W3CDTF">2020-01-07T15:01:11Z</dcterms:modified>
  <cp:category/>
</cp:coreProperties>
</file>