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legislatíva\ŽoNFP\04.05.2015\ŽoNFP\4.1\final 04.06.2015\"/>
    </mc:Choice>
  </mc:AlternateContent>
  <bookViews>
    <workbookView xWindow="0" yWindow="0" windowWidth="20730" windowHeight="11760"/>
  </bookViews>
  <sheets>
    <sheet name="4.1.2" sheetId="1" r:id="rId1"/>
    <sheet name="Nezamestanosť" sheetId="2" r:id="rId2"/>
  </sheets>
  <definedNames>
    <definedName name="_edn1" localSheetId="0">'4.1.2'!#REF!</definedName>
    <definedName name="_edn2" localSheetId="0">'4.1.2'!#REF!</definedName>
    <definedName name="_edn3" localSheetId="0">'4.1.2'!#REF!</definedName>
    <definedName name="_edn4" localSheetId="0">'4.1.2'!#REF!</definedName>
    <definedName name="_edn5" localSheetId="0">'4.1.2'!#REF!</definedName>
    <definedName name="_edn6" localSheetId="0">'4.1.2'!#REF!</definedName>
    <definedName name="_edn7" localSheetId="0">'4.1.2'!#REF!</definedName>
    <definedName name="_ednref1" localSheetId="0">'4.1.2'!#REF!</definedName>
    <definedName name="_ednref2" localSheetId="0">'4.1.2'!#REF!</definedName>
    <definedName name="_ednref3" localSheetId="0">'4.1.2'!#REF!</definedName>
    <definedName name="_ednref4" localSheetId="0">'4.1.2'!#REF!</definedName>
    <definedName name="_ednref5" localSheetId="0">'4.1.2'!#REF!</definedName>
    <definedName name="_ednref6" localSheetId="0">'4.1.2'!#REF!</definedName>
    <definedName name="_ednref7" localSheetId="0">'4.1.2'!#REF!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2" i="1" l="1"/>
  <c r="B71" i="1"/>
  <c r="B70" i="1"/>
  <c r="B69" i="1"/>
  <c r="B68" i="1"/>
  <c r="B67" i="1"/>
  <c r="B66" i="1"/>
  <c r="B65" i="1"/>
  <c r="B64" i="1"/>
  <c r="B62" i="1"/>
  <c r="B61" i="1" l="1"/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11" i="2"/>
  <c r="P52" i="1" l="1"/>
  <c r="O57" i="1" s="1"/>
  <c r="P57" i="1" s="1"/>
  <c r="Q57" i="1" s="1"/>
  <c r="Q51" i="1"/>
  <c r="O54" i="1" l="1"/>
  <c r="P54" i="1" s="1"/>
  <c r="Q54" i="1" s="1"/>
  <c r="O55" i="1"/>
  <c r="P55" i="1" s="1"/>
  <c r="Q55" i="1" s="1"/>
  <c r="O56" i="1"/>
  <c r="P56" i="1" s="1"/>
  <c r="Q56" i="1" s="1"/>
  <c r="O53" i="1"/>
  <c r="P53" i="1" s="1"/>
  <c r="Q50" i="1"/>
  <c r="S53" i="1" l="1"/>
  <c r="Q53" i="1"/>
  <c r="P49" i="1"/>
  <c r="Q49" i="1" s="1"/>
  <c r="Q28" i="1"/>
  <c r="Q31" i="1"/>
  <c r="Q30" i="1"/>
  <c r="R54" i="1" l="1"/>
  <c r="R53" i="1"/>
  <c r="Q48" i="1"/>
  <c r="Q47" i="1"/>
  <c r="R55" i="1" l="1"/>
  <c r="R56" i="1" s="1"/>
  <c r="R46" i="1"/>
  <c r="S46" i="1" s="1"/>
  <c r="I43" i="1" s="1"/>
  <c r="I50" i="1" l="1"/>
  <c r="R57" i="1"/>
  <c r="Q29" i="1"/>
  <c r="S28" i="1" l="1"/>
  <c r="I22" i="1" s="1"/>
  <c r="R28" i="1"/>
  <c r="Q21" i="1" l="1"/>
  <c r="I21" i="1" s="1"/>
  <c r="Q20" i="1"/>
  <c r="I20" i="1" s="1"/>
  <c r="Q17" i="1" l="1"/>
  <c r="I16" i="1" s="1"/>
  <c r="O15" i="1"/>
  <c r="I15" i="1" s="1"/>
  <c r="G40" i="2" l="1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E16" i="2"/>
  <c r="F16" i="2" s="1"/>
  <c r="G15" i="2"/>
  <c r="H15" i="2" s="1"/>
  <c r="G14" i="2"/>
  <c r="H14" i="2" s="1"/>
  <c r="G13" i="2"/>
  <c r="H13" i="2" s="1"/>
  <c r="G12" i="2"/>
  <c r="H12" i="2" s="1"/>
  <c r="I11" i="2"/>
  <c r="G11" i="2"/>
  <c r="H11" i="2" s="1"/>
  <c r="E11" i="2" l="1"/>
  <c r="F11" i="2" s="1"/>
  <c r="E12" i="2"/>
  <c r="F12" i="2" s="1"/>
  <c r="E14" i="2"/>
  <c r="F14" i="2" s="1"/>
  <c r="E18" i="2"/>
  <c r="F18" i="2" s="1"/>
  <c r="E22" i="2"/>
  <c r="F22" i="2" s="1"/>
  <c r="E26" i="2"/>
  <c r="F26" i="2" s="1"/>
  <c r="E30" i="2"/>
  <c r="F30" i="2" s="1"/>
  <c r="E32" i="2"/>
  <c r="F32" i="2" s="1"/>
  <c r="E36" i="2"/>
  <c r="F36" i="2" s="1"/>
  <c r="E38" i="2"/>
  <c r="F38" i="2" s="1"/>
  <c r="E40" i="2"/>
  <c r="F40" i="2" s="1"/>
  <c r="E20" i="2"/>
  <c r="F20" i="2" s="1"/>
  <c r="E24" i="2"/>
  <c r="F24" i="2" s="1"/>
  <c r="E28" i="2"/>
  <c r="F28" i="2" s="1"/>
  <c r="E34" i="2"/>
  <c r="F34" i="2" s="1"/>
  <c r="E13" i="2"/>
  <c r="F13" i="2" s="1"/>
  <c r="E15" i="2"/>
  <c r="E17" i="2"/>
  <c r="F17" i="2" s="1"/>
  <c r="E19" i="2"/>
  <c r="F19" i="2" s="1"/>
  <c r="E21" i="2"/>
  <c r="F21" i="2" s="1"/>
  <c r="E23" i="2"/>
  <c r="F23" i="2" s="1"/>
  <c r="E25" i="2"/>
  <c r="F25" i="2" s="1"/>
  <c r="E27" i="2"/>
  <c r="F27" i="2" s="1"/>
  <c r="E29" i="2"/>
  <c r="F29" i="2" s="1"/>
  <c r="E31" i="2"/>
  <c r="F31" i="2" s="1"/>
  <c r="E33" i="2"/>
  <c r="F33" i="2" s="1"/>
  <c r="E35" i="2"/>
  <c r="F35" i="2" s="1"/>
  <c r="E37" i="2"/>
  <c r="F37" i="2" s="1"/>
  <c r="E39" i="2"/>
  <c r="F39" i="2" s="1"/>
  <c r="E43" i="2" l="1"/>
  <c r="F15" i="2"/>
  <c r="F43" i="2" s="1"/>
  <c r="F44" i="2" s="1"/>
  <c r="E44" i="2" s="1"/>
  <c r="H13" i="1" s="1"/>
  <c r="I12" i="1" l="1"/>
  <c r="I56" i="1" s="1"/>
  <c r="B63" i="1"/>
</calcChain>
</file>

<file path=xl/comments1.xml><?xml version="1.0" encoding="utf-8"?>
<comments xmlns="http://schemas.openxmlformats.org/spreadsheetml/2006/main">
  <authors>
    <author>Kužma Emil</author>
  </authors>
  <commentList>
    <comment ref="H43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ÁNO </t>
        </r>
        <r>
          <rPr>
            <sz val="8"/>
            <color indexed="81"/>
            <rFont val="Tahoma"/>
            <family val="2"/>
            <charset val="238"/>
          </rPr>
          <t xml:space="preserve">= ekologické poľnohospodárstvo
</t>
        </r>
        <r>
          <rPr>
            <b/>
            <sz val="8"/>
            <color indexed="81"/>
            <rFont val="Tahoma"/>
            <family val="2"/>
            <charset val="238"/>
          </rPr>
          <t xml:space="preserve">NIE </t>
        </r>
        <r>
          <rPr>
            <sz val="8"/>
            <color indexed="81"/>
            <rFont val="Tahoma"/>
            <family val="2"/>
            <charset val="238"/>
          </rPr>
          <t>= základná intenzita</t>
        </r>
      </text>
    </comment>
  </commentList>
</comments>
</file>

<file path=xl/sharedStrings.xml><?xml version="1.0" encoding="utf-8"?>
<sst xmlns="http://schemas.openxmlformats.org/spreadsheetml/2006/main" count="184" uniqueCount="173">
  <si>
    <t>P.č.</t>
  </si>
  <si>
    <t>1.</t>
  </si>
  <si>
    <t>2.</t>
  </si>
  <si>
    <t>3.</t>
  </si>
  <si>
    <t>4.</t>
  </si>
  <si>
    <t>5.</t>
  </si>
  <si>
    <t>6.</t>
  </si>
  <si>
    <t>7.</t>
  </si>
  <si>
    <t>Súčet bodov</t>
  </si>
  <si>
    <t>Žiadateľ</t>
  </si>
  <si>
    <t>IČO</t>
  </si>
  <si>
    <t>Výška OV</t>
  </si>
  <si>
    <t>Miesto realizácie</t>
  </si>
  <si>
    <t>Požadovaný NFP</t>
  </si>
  <si>
    <t>Kritérium</t>
  </si>
  <si>
    <t>–        do 15 % vrátane</t>
  </si>
  <si>
    <t>–        nad 15 %</t>
  </si>
  <si>
    <t>Realizáciou projektu sa žiadateľ zaviaže zvýšiť počet pracovných miest  súvisiacich s projektom minimálne o 1 zamestnanca minimálne na 2 roky  a to najneskôr do 6 mesiacov od doby realizácie investície</t>
  </si>
  <si>
    <t>Žiadateľ bol založený alebo vznikol po 1.1.2014, nemá ukončený žiadny celý rok činnosti a preto nevie preukázať ekonomickú životaschopnosť</t>
  </si>
  <si>
    <t>Žiadateľ spĺňa aspoň jedno kritérium  ekonomickej životaschopnosti</t>
  </si>
  <si>
    <t>Žiadateľ spĺňa obidve kritériá ekonomickej životaschopnosti</t>
  </si>
  <si>
    <t>Deklarované oprávnené výdavky žiadateľom  v súvislosti s projektom sú:</t>
  </si>
  <si>
    <t>a)   max. vo výške 150 tis. EUR vrátane</t>
  </si>
  <si>
    <t>b)   max. vo výške 200 tis. EUR vrátane</t>
  </si>
  <si>
    <t>a)   max. vo výške 250 tis. EUR vrátane</t>
  </si>
  <si>
    <t>Žiadateľ sa zaviaže, že súhlasí s nižšou intenzitou pomoci ako maximálna intenzita pomoci deklarovaná vo výzve nasledovne:</t>
  </si>
  <si>
    <t>a)   intenzita pomoci nižšia  o 5%</t>
  </si>
  <si>
    <t>b)   intenzita pomoci nižšia  o 10 %</t>
  </si>
  <si>
    <t>a)   intenzita pomoci nižšia  o 20%</t>
  </si>
  <si>
    <t>b)   intenzita pomoci nižšia  o 30 %</t>
  </si>
  <si>
    <t>Projekt je zameraný hlavne na :</t>
  </si>
  <si>
    <t>x</t>
  </si>
  <si>
    <t>Body</t>
  </si>
  <si>
    <t>Poznámka</t>
  </si>
  <si>
    <t>Žiadateľ uvedené popíše v žiadosti o NFP a v prípade  splnenia si uplatní 5 bodov.</t>
  </si>
  <si>
    <t>Evidovaná miera nezamestnanosti v %</t>
  </si>
  <si>
    <t>počet bodov</t>
  </si>
  <si>
    <t xml:space="preserve">V prípade uplatnenia základnej intenzity: </t>
  </si>
  <si>
    <t>V prípade uplatnenia zvýšenej intenzity</t>
  </si>
  <si>
    <t>A)    Pri žiadateľoch  s počtom VDJ menej ako 50 vrátane resp. s projektom zameraným na chov včiel</t>
  </si>
  <si>
    <t>a)   max. vo výške 80 tis. EUR vrátane</t>
  </si>
  <si>
    <t>b)   max. vo výške 120tis. EUR vrátane</t>
  </si>
  <si>
    <t>c)   max. vo výške 180 tis. EUR vrátane</t>
  </si>
  <si>
    <t>d)   nad 180  tis. EUR</t>
  </si>
  <si>
    <t>B)    Pri žiadateľoch  s počtom VDJ viac 50  a menej ako 300 vrátane a pri projektoch zameraných na chov hydiny</t>
  </si>
  <si>
    <t>c)   max. vo výške 300 tis. EUR vrátane</t>
  </si>
  <si>
    <t>d)   nad 300 tis. EUR</t>
  </si>
  <si>
    <t>C)    Pri žiadateľoch  s počtom VDJ viac  ako 300</t>
  </si>
  <si>
    <t>a)   max. vo výške 200 tis. EUR vrátane</t>
  </si>
  <si>
    <t>b)   max. vo výške 300 tis. EUR vrátane</t>
  </si>
  <si>
    <t>c)   max. vo výške 450 tis. EUR vrátane</t>
  </si>
  <si>
    <t>d)   nad 450 tis. EUR</t>
  </si>
  <si>
    <t>D)    Pri žiadateľoch  u ktorých predmetom projektu je len výstavba nových kravínov, ovčínov, ošíparní a hál na chov hydiny vrátane dodávky nových technológií a vrátane výstavby hnojných koncoviek a silážnych žľabov   a  bez strojov automobilov a náradia:</t>
  </si>
  <si>
    <t>b)   max. vo výške 350 tis. EUR vrátane</t>
  </si>
  <si>
    <t>a)   výstavbu nových  a rekonštrukciu a modernizáciu ustajňovacích priestorov HD, dojární, ovčínov a ošipární budov a hál pre chov hydiny  vrátane dodávky nových technológií, oplôtok a vrátane výstavby hnojných koncoviek, nákupu alebo výstavby zariadení na skladovanie živočíšnych odpadov vrátene technológií a silážnych alebo senážnych žľabov pre potreby živočíšnej výroby</t>
  </si>
  <si>
    <t>b)   výstavbu alebo rekonštrukciu alebo modernizáciu ostatných stavieb pre hospodárske zvieratá neuvedené v predchádzajúcich bodoch vrátane technológií a vrátane výstavby hnojných koncoviek, nákupu alebo výstavby zariadení na skladovanie živočíšnych odpadov vrátene technológií a silážnych alebo senážnych žľabov pre potreby živočíšnej výroby</t>
  </si>
  <si>
    <t>c)   výstavba hnojných koncoviek, nákup alebo výstavba zariadení na skladovanie živočíšnych odpadov vrátene technológií a silážnych alebo senážnych žľabov pre potreby živočíšnej výroby</t>
  </si>
  <si>
    <t>d)   stroje, náradie, automobily spojené so živočíšnou výrobou</t>
  </si>
  <si>
    <t>e)   ostatné nezaradené v predchádzajúcich bodoch</t>
  </si>
  <si>
    <t>Projekt prispieva k hlavným cieľom PRV v rámci opatrenia 4.1 na základe analýzy potrieb -  zvýšeniu efektívnosti výroby, k zvýšeniu produkcie alebo k zvýšeniu kvality výrobkov resp. súvisí s výrobou  nových produktov</t>
  </si>
  <si>
    <t>8.</t>
  </si>
  <si>
    <t>Projekt sa realizuje v okrese s mierou  evidovanej nezamestnanosti k 31.12. predchádzajúceho roka:</t>
  </si>
  <si>
    <t>Žiadateľ obhospodaroval minimálne 50 % pôdy v znevýhodnených oblastiach a/alebo v zraniteľných oblastiach</t>
  </si>
  <si>
    <t>V prípade, ak sa projekt realizuje vo viacerých okresoch, body sa pridelia na základe nezamestnanosti vypočítanej aritmetickým priemerom z údajov nezamestnanosti všetkých okresov, kde sa projekt realizuje. Maximálny počet bodov je 5</t>
  </si>
  <si>
    <t>Vykazujú sa miesta súvisiace so samotnou realizáciou projektu nie celkové miesta v podniku. Za počiatočný stav sa berie stav pred investíciou.  Žiadateľ musí preukázateľne označovať uvedené miesta označením miesto PRV. Berie sa pracovné miesto na celý úväzok. V prípade čiastočných úväzkov resp. sezónnych zamestnancov sa metodika posudzovania uvedie vo výzve. Miesto sa musí vytvoriť najneskôr do 6 mesiacov od realizácie investície ( odo dňa predloženia ŽoP)</t>
  </si>
  <si>
    <t>Posúdenie životaschopnosti platí aspoň za jeden rok z rokov 2013 alebo 2014. Spôsob uplatňovania bude stanovený  vo výzve.Maximálny počet bodov je 6</t>
  </si>
  <si>
    <t>Posúdenie sa v prípade podávania žiadostí  na toto opatrenie v roku 2015 preukáže na základe deklarovanej pôdy ( uvedenej v podanej žiadosti ) v rámci žiadosti pre platbu SAPS resp. LFA v roku 2014. V prípade nedeklarovania v roku 2014 ( napr. nový žiadateľ v roku 2015, nepožiadanie o podporu  v roku 2014 ap. ) sa body nepridelia. V prípade podávania žiadostí v nasledujúcich rokoch po roku 2015 sa berie deklarovaná výmera v žiadosti na ANC resp. SAPS v roku predchádzajúcom podávaniu žiadostí na dané opatrenie. Maximálny počet bodov je 5</t>
  </si>
  <si>
    <t>Počet VDJ sa bude brať k termínu uvedenom vo výzve. Pokiaľ sú predmetom projektu  stroje, automobily alebo náradie body sa priznajú len podľa písmen A) až C). V bode D) pre jeho uplatnenie je nutné deklarovať aj samotnú výstavbu nových kravínov, ovčínov a ošíparní, hál pre hydinu, nestačí deklarovať len technológie, koncovky alebo žľaby. Maximálny počet bodov je 25. Body sú vždy za písmená a) až d).</t>
  </si>
  <si>
    <t>Žiadateľ v žiadosti deklaruje súhlas so znížením intenzity pomoc ak má o to záujem a na základe toho si prizná body. Presný spôsob výpočtu a uplatnenia zníženia intenzity pomoci prostredníctvom zníženia výšky podpory bude určený vo výzve. Zvýšená intenzita sa berie intenzita pri uplatnení zvýšenej intenzity za mladých a malých farmárov a pri ekologickom poľnohospodárstve. Maximálny počet bodov je 8.</t>
  </si>
  <si>
    <t>Počet VDJ</t>
  </si>
  <si>
    <t>Tabuľka č. 4</t>
  </si>
  <si>
    <t>NEZAMESTANOSŤ</t>
  </si>
  <si>
    <t>Projekt sa realizuje v okrese/okresoch:</t>
  </si>
  <si>
    <t>skryt</t>
  </si>
  <si>
    <t>Kraj - okres</t>
  </si>
  <si>
    <t>Okres</t>
  </si>
  <si>
    <t>Nezamestanosť</t>
  </si>
  <si>
    <t>kontrola</t>
  </si>
  <si>
    <t>kontrola1</t>
  </si>
  <si>
    <t>PRIEMER NEZAMESTNANOSŤ</t>
  </si>
  <si>
    <t>BA - Bratislava I</t>
  </si>
  <si>
    <t>BA - Bratislava II</t>
  </si>
  <si>
    <t>BA - Bratislava III</t>
  </si>
  <si>
    <t>BA - Bratislava IV</t>
  </si>
  <si>
    <t>BA - Bratislava V</t>
  </si>
  <si>
    <t>BA - Malacky</t>
  </si>
  <si>
    <t>BA - Pezinok</t>
  </si>
  <si>
    <t>BA - Senec</t>
  </si>
  <si>
    <t>TT - Dunajská Streda</t>
  </si>
  <si>
    <t>TT - Galanta</t>
  </si>
  <si>
    <t>TT - Hlohovec</t>
  </si>
  <si>
    <t>TT - Piešťany</t>
  </si>
  <si>
    <t>TT - Senica</t>
  </si>
  <si>
    <t>TT - Skalica</t>
  </si>
  <si>
    <t>TT - Trnava</t>
  </si>
  <si>
    <t>TN - Bánovce nad Bebravou</t>
  </si>
  <si>
    <t>TN - Ilava</t>
  </si>
  <si>
    <t>TN - Myjava</t>
  </si>
  <si>
    <t>TN - Nové Mesto nad Váhom</t>
  </si>
  <si>
    <t>TN - Partizánske</t>
  </si>
  <si>
    <t>TN - Považská Bystrica</t>
  </si>
  <si>
    <t>TN - Prievidza</t>
  </si>
  <si>
    <t>TN - Púchov</t>
  </si>
  <si>
    <t>TN - Trenčín</t>
  </si>
  <si>
    <t>NR - Komárno</t>
  </si>
  <si>
    <t>NR - Levice</t>
  </si>
  <si>
    <t>NR - Nitra</t>
  </si>
  <si>
    <t>NR - Nové Zámky</t>
  </si>
  <si>
    <t>NR - Šaľa</t>
  </si>
  <si>
    <t>NR - Topoľčany</t>
  </si>
  <si>
    <t>NR - Zlaté Moravce</t>
  </si>
  <si>
    <t>ZA - Bytča</t>
  </si>
  <si>
    <t>ZA - Čadca</t>
  </si>
  <si>
    <t>ZA - Dolný Kubín</t>
  </si>
  <si>
    <t>ZA - Kysucké Nové Mesto</t>
  </si>
  <si>
    <t>ZA - Liptovský Mikuláš</t>
  </si>
  <si>
    <t>ZA - Martin</t>
  </si>
  <si>
    <t>ZA - Námestovo</t>
  </si>
  <si>
    <t>ZA - Ružomberok</t>
  </si>
  <si>
    <t>ZA - Turčianske Teplice</t>
  </si>
  <si>
    <t>ZA - Tvrdošín</t>
  </si>
  <si>
    <t>ZA - Žilina</t>
  </si>
  <si>
    <t>BB - Banská Bystrica</t>
  </si>
  <si>
    <t>BB - Banská Štiavnica</t>
  </si>
  <si>
    <t>BB - Brezno</t>
  </si>
  <si>
    <t>BB - Detva</t>
  </si>
  <si>
    <t>BB - Krupina</t>
  </si>
  <si>
    <t>BB - Lučenec</t>
  </si>
  <si>
    <t>BB - Poltár</t>
  </si>
  <si>
    <t>BB - Revúca</t>
  </si>
  <si>
    <r>
      <rPr>
        <b/>
        <sz val="9"/>
        <rFont val="Arial"/>
        <family val="2"/>
        <charset val="238"/>
      </rPr>
      <t xml:space="preserve">BB - </t>
    </r>
    <r>
      <rPr>
        <sz val="9"/>
        <rFont val="Arial"/>
        <family val="2"/>
        <charset val="238"/>
      </rPr>
      <t>Rimavská Sobota</t>
    </r>
  </si>
  <si>
    <t>BB - Veľký Krtíš</t>
  </si>
  <si>
    <t>BB - Zvolen</t>
  </si>
  <si>
    <t>BB - Žarnovica</t>
  </si>
  <si>
    <t>BB - Žiar nad Hronom</t>
  </si>
  <si>
    <t>PR - Bardejov</t>
  </si>
  <si>
    <t>PR - Humenné</t>
  </si>
  <si>
    <t>PR - Kežmarok</t>
  </si>
  <si>
    <t>PR - Levoča</t>
  </si>
  <si>
    <t>PR - Medzilaborce</t>
  </si>
  <si>
    <t>PR - Poprad</t>
  </si>
  <si>
    <t>PR - Prešov</t>
  </si>
  <si>
    <t>PR - Sabinov</t>
  </si>
  <si>
    <t>PR - Snina</t>
  </si>
  <si>
    <t>PR - Stará Ľubovňa</t>
  </si>
  <si>
    <t>PR - Stropkov</t>
  </si>
  <si>
    <t>PR - Svidník</t>
  </si>
  <si>
    <t>PR - Vranov nad Topľou</t>
  </si>
  <si>
    <t>KE - Gelnica</t>
  </si>
  <si>
    <t>KE - Košice I</t>
  </si>
  <si>
    <t>KE - Košice II</t>
  </si>
  <si>
    <t>KE - Košice III</t>
  </si>
  <si>
    <t>KE - Košice IV</t>
  </si>
  <si>
    <t>KE - Košice - okolie</t>
  </si>
  <si>
    <t>KE - Michalovce</t>
  </si>
  <si>
    <t>KE - Rožňava</t>
  </si>
  <si>
    <t>KE - Sobrance</t>
  </si>
  <si>
    <t>KE - Spišská Nová Ves</t>
  </si>
  <si>
    <t>KE - Trebišov</t>
  </si>
  <si>
    <t>Žiadateľ nespĺňa ani jedno kritérum ekonomickej životaschopnosti</t>
  </si>
  <si>
    <t>Uplatnenie zvýšenej intenzity</t>
  </si>
  <si>
    <t>menej rozvinuté regiony</t>
  </si>
  <si>
    <t>ine regiony</t>
  </si>
  <si>
    <t>zakladne %</t>
  </si>
  <si>
    <t>zvysene %</t>
  </si>
  <si>
    <t>oprávnené výdavky</t>
  </si>
  <si>
    <t>% podiel</t>
  </si>
  <si>
    <t>spolu</t>
  </si>
  <si>
    <t xml:space="preserve">Na zaradenie do jednej z kategórie a) až d) je nutné aby minimálne 70 % deklarovaných  výdavkov projektu spadalo do jednej z týchto kategórii. Ak sa 70 % dosiahne viacerými kategóriami a) až d), žiadateľ si uvedie vážený aritmetický priemer. Hnojné koncovky, zariadenia na skladovanie živočíšnych odpadov a silážne alebo senážne žľaby  sa môžu zarátať do kategórií a) až b) len v prípade, že deklarované oprávnené výdavky  na ne predstavujú menej ako 50 % deklarovaných  oprávnených výdavkov na danú kategóriu a) až b). Inak  sa započítajú do kategórie c). V prípade, že žiadateľ nedosiahne    70 % v rámci kategórií a) až d) uvedie si body podľa kategórie e) 
Oprávnenosť strojov, automobilov a náradia súvisiaceho so živočíšnou výrobou bude popísaná vo výzve. Maximálny počet bodov je 42.
</t>
  </si>
  <si>
    <t>Kontrola vyplnenia</t>
  </si>
  <si>
    <t>Tabuľka č. 5</t>
  </si>
  <si>
    <t>BODOVACIE KRITÉRIÁ</t>
  </si>
  <si>
    <t>Živočíšna výroba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</si>
</sst>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color rgb="FF000000"/>
      <name val="Segoe U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4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vertical="center"/>
      <protection locked="0" hidden="1"/>
    </xf>
    <xf numFmtId="0" fontId="8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 applyProtection="1">
      <alignment horizontal="center" vertical="center"/>
      <protection locked="0" hidden="1"/>
    </xf>
    <xf numFmtId="0" fontId="1" fillId="0" borderId="14" xfId="0" applyFont="1" applyFill="1" applyBorder="1" applyAlignment="1" applyProtection="1">
      <alignment horizontal="center" vertical="center"/>
      <protection locked="0" hidden="1"/>
    </xf>
    <xf numFmtId="0" fontId="1" fillId="0" borderId="15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4" fontId="2" fillId="2" borderId="15" xfId="0" applyNumberFormat="1" applyFont="1" applyFill="1" applyBorder="1" applyAlignment="1" applyProtection="1">
      <alignment horizontal="center" vertical="center"/>
      <protection hidden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1" applyFont="1"/>
    <xf numFmtId="0" fontId="7" fillId="0" borderId="0" xfId="1"/>
    <xf numFmtId="0" fontId="5" fillId="0" borderId="0" xfId="1" applyFont="1"/>
    <xf numFmtId="0" fontId="9" fillId="0" borderId="1" xfId="1" applyFont="1" applyBorder="1" applyAlignment="1">
      <alignment vertical="center" wrapText="1"/>
    </xf>
    <xf numFmtId="0" fontId="9" fillId="0" borderId="0" xfId="1" applyFont="1" applyAlignment="1">
      <alignment vertical="center"/>
    </xf>
    <xf numFmtId="0" fontId="7" fillId="4" borderId="0" xfId="1" applyFill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7" fillId="0" borderId="1" xfId="1" applyBorder="1"/>
    <xf numFmtId="0" fontId="7" fillId="4" borderId="0" xfId="1" applyFill="1"/>
    <xf numFmtId="4" fontId="10" fillId="4" borderId="0" xfId="1" applyNumberFormat="1" applyFont="1" applyFill="1"/>
    <xf numFmtId="0" fontId="10" fillId="4" borderId="0" xfId="1" applyFont="1" applyFill="1"/>
    <xf numFmtId="2" fontId="9" fillId="0" borderId="0" xfId="1" applyNumberFormat="1" applyFont="1" applyAlignment="1">
      <alignment vertical="center"/>
    </xf>
    <xf numFmtId="0" fontId="10" fillId="0" borderId="0" xfId="1" applyFont="1"/>
    <xf numFmtId="0" fontId="1" fillId="0" borderId="1" xfId="1" applyFont="1" applyBorder="1" applyProtection="1">
      <protection locked="0"/>
    </xf>
    <xf numFmtId="0" fontId="0" fillId="4" borderId="0" xfId="0" applyFill="1"/>
    <xf numFmtId="0" fontId="6" fillId="3" borderId="2" xfId="0" applyFont="1" applyFill="1" applyBorder="1" applyAlignment="1">
      <alignment horizontal="center" vertical="center" wrapText="1"/>
    </xf>
    <xf numFmtId="0" fontId="1" fillId="5" borderId="0" xfId="0" applyFont="1" applyFill="1" applyAlignment="1" applyProtection="1">
      <alignment horizontal="center" vertical="center"/>
      <protection locked="0" hidden="1"/>
    </xf>
    <xf numFmtId="0" fontId="1" fillId="6" borderId="0" xfId="0" applyFont="1" applyFill="1" applyAlignment="1" applyProtection="1">
      <alignment horizontal="center" vertical="center"/>
      <protection locked="0" hidden="1"/>
    </xf>
    <xf numFmtId="10" fontId="1" fillId="0" borderId="0" xfId="0" applyNumberFormat="1" applyFont="1" applyAlignment="1" applyProtection="1">
      <alignment horizontal="center" vertical="center"/>
      <protection locked="0" hidden="1"/>
    </xf>
    <xf numFmtId="0" fontId="9" fillId="4" borderId="1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4" fontId="1" fillId="4" borderId="0" xfId="0" applyNumberFormat="1" applyFont="1" applyFill="1" applyProtection="1">
      <protection locked="0" hidden="1"/>
    </xf>
    <xf numFmtId="0" fontId="1" fillId="4" borderId="0" xfId="0" applyFont="1" applyFill="1" applyProtection="1">
      <protection locked="0" hidden="1"/>
    </xf>
    <xf numFmtId="10" fontId="1" fillId="4" borderId="0" xfId="0" applyNumberFormat="1" applyFont="1" applyFill="1" applyProtection="1">
      <protection locked="0" hidden="1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 hidden="1"/>
    </xf>
    <xf numFmtId="0" fontId="0" fillId="4" borderId="0" xfId="0" applyFill="1" applyProtection="1">
      <protection locked="0" hidden="1"/>
    </xf>
    <xf numFmtId="0" fontId="0" fillId="4" borderId="0" xfId="0" applyFill="1" applyAlignment="1" applyProtection="1">
      <alignment vertical="center"/>
      <protection locked="0" hidden="1"/>
    </xf>
    <xf numFmtId="4" fontId="0" fillId="4" borderId="0" xfId="0" applyNumberFormat="1" applyFill="1" applyAlignment="1" applyProtection="1">
      <alignment vertical="center"/>
      <protection locked="0" hidden="1"/>
    </xf>
    <xf numFmtId="2" fontId="0" fillId="4" borderId="0" xfId="0" applyNumberFormat="1" applyFill="1" applyProtection="1">
      <protection locked="0" hidden="1"/>
    </xf>
    <xf numFmtId="0" fontId="10" fillId="0" borderId="1" xfId="1" applyFont="1" applyBorder="1" applyAlignment="1" applyProtection="1">
      <alignment vertical="center"/>
      <protection hidden="1"/>
    </xf>
    <xf numFmtId="0" fontId="9" fillId="0" borderId="1" xfId="1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4" fillId="0" borderId="0" xfId="0" applyFont="1"/>
    <xf numFmtId="4" fontId="2" fillId="0" borderId="13" xfId="0" applyNumberFormat="1" applyFont="1" applyFill="1" applyBorder="1" applyAlignment="1" applyProtection="1">
      <alignment horizontal="center" vertical="center"/>
      <protection hidden="1"/>
    </xf>
    <xf numFmtId="4" fontId="2" fillId="0" borderId="14" xfId="0" applyNumberFormat="1" applyFont="1" applyFill="1" applyBorder="1" applyAlignment="1" applyProtection="1">
      <alignment horizontal="center" vertical="center"/>
      <protection hidden="1"/>
    </xf>
    <xf numFmtId="4" fontId="2" fillId="0" borderId="15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 applyProtection="1">
      <alignment horizontal="center" vertical="center"/>
      <protection locked="0"/>
    </xf>
    <xf numFmtId="4" fontId="2" fillId="0" borderId="14" xfId="0" applyNumberFormat="1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  <protection hidden="1"/>
    </xf>
    <xf numFmtId="3" fontId="2" fillId="0" borderId="14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hidden="1"/>
    </xf>
    <xf numFmtId="0" fontId="2" fillId="0" borderId="14" xfId="0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hidden="1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2" fontId="2" fillId="0" borderId="13" xfId="0" applyNumberFormat="1" applyFont="1" applyFill="1" applyBorder="1" applyAlignment="1" applyProtection="1">
      <alignment horizontal="center" vertical="center"/>
      <protection hidden="1"/>
    </xf>
    <xf numFmtId="2" fontId="2" fillId="0" borderId="15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9" fillId="0" borderId="1" xfId="1" applyNumberFormat="1" applyFont="1" applyBorder="1" applyAlignment="1" applyProtection="1">
      <alignment horizontal="left" vertical="center"/>
      <protection locked="0" hidden="1"/>
    </xf>
  </cellXfs>
  <cellStyles count="2">
    <cellStyle name="Normálne" xfId="0" builtinId="0"/>
    <cellStyle name="Normálne 2" xfId="1"/>
  </cellStyles>
  <dxfs count="1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fmlaLink="$P$20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P$2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$P$28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N$15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fmlaLink="$P$48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P$4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P$17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0</xdr:colOff>
          <xdr:row>15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14</xdr:row>
          <xdr:rowOff>333375</xdr:rowOff>
        </xdr:from>
        <xdr:to>
          <xdr:col>7</xdr:col>
          <xdr:colOff>1085850</xdr:colOff>
          <xdr:row>14</xdr:row>
          <xdr:rowOff>581025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14</xdr:row>
          <xdr:rowOff>828675</xdr:rowOff>
        </xdr:from>
        <xdr:to>
          <xdr:col>7</xdr:col>
          <xdr:colOff>1076325</xdr:colOff>
          <xdr:row>14</xdr:row>
          <xdr:rowOff>1076325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15</xdr:row>
          <xdr:rowOff>161925</xdr:rowOff>
        </xdr:from>
        <xdr:to>
          <xdr:col>7</xdr:col>
          <xdr:colOff>1066800</xdr:colOff>
          <xdr:row>15</xdr:row>
          <xdr:rowOff>409575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16</xdr:row>
          <xdr:rowOff>66675</xdr:rowOff>
        </xdr:from>
        <xdr:to>
          <xdr:col>7</xdr:col>
          <xdr:colOff>1066800</xdr:colOff>
          <xdr:row>16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17</xdr:row>
          <xdr:rowOff>76200</xdr:rowOff>
        </xdr:from>
        <xdr:to>
          <xdr:col>7</xdr:col>
          <xdr:colOff>1057275</xdr:colOff>
          <xdr:row>17</xdr:row>
          <xdr:rowOff>323850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18</xdr:row>
          <xdr:rowOff>47625</xdr:rowOff>
        </xdr:from>
        <xdr:to>
          <xdr:col>7</xdr:col>
          <xdr:colOff>1047750</xdr:colOff>
          <xdr:row>18</xdr:row>
          <xdr:rowOff>295275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19</xdr:row>
          <xdr:rowOff>0</xdr:rowOff>
        </xdr:from>
        <xdr:to>
          <xdr:col>8</xdr:col>
          <xdr:colOff>0</xdr:colOff>
          <xdr:row>20</xdr:row>
          <xdr:rowOff>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19</xdr:row>
          <xdr:rowOff>76200</xdr:rowOff>
        </xdr:from>
        <xdr:to>
          <xdr:col>7</xdr:col>
          <xdr:colOff>1000125</xdr:colOff>
          <xdr:row>19</xdr:row>
          <xdr:rowOff>295275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19</xdr:row>
          <xdr:rowOff>381000</xdr:rowOff>
        </xdr:from>
        <xdr:to>
          <xdr:col>7</xdr:col>
          <xdr:colOff>1076325</xdr:colOff>
          <xdr:row>19</xdr:row>
          <xdr:rowOff>600075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8</xdr:col>
          <xdr:colOff>0</xdr:colOff>
          <xdr:row>21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20</xdr:row>
          <xdr:rowOff>333375</xdr:rowOff>
        </xdr:from>
        <xdr:to>
          <xdr:col>7</xdr:col>
          <xdr:colOff>1047750</xdr:colOff>
          <xdr:row>20</xdr:row>
          <xdr:rowOff>590550</xdr:rowOff>
        </xdr:to>
        <xdr:sp macro="" textlink="">
          <xdr:nvSpPr>
            <xdr:cNvPr id="2062" name="Option Button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20</xdr:row>
          <xdr:rowOff>857250</xdr:rowOff>
        </xdr:from>
        <xdr:to>
          <xdr:col>7</xdr:col>
          <xdr:colOff>1076325</xdr:colOff>
          <xdr:row>20</xdr:row>
          <xdr:rowOff>1085850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21</xdr:row>
          <xdr:rowOff>0</xdr:rowOff>
        </xdr:from>
        <xdr:to>
          <xdr:col>8</xdr:col>
          <xdr:colOff>0</xdr:colOff>
          <xdr:row>42</xdr:row>
          <xdr:rowOff>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190500</xdr:colOff>
          <xdr:row>23</xdr:row>
          <xdr:rowOff>104775</xdr:rowOff>
        </xdr:from>
        <xdr:to>
          <xdr:col>7</xdr:col>
          <xdr:colOff>1085850</xdr:colOff>
          <xdr:row>26</xdr:row>
          <xdr:rowOff>47625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2D0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A, B, 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28</xdr:row>
          <xdr:rowOff>0</xdr:rowOff>
        </xdr:from>
        <xdr:to>
          <xdr:col>7</xdr:col>
          <xdr:colOff>1076325</xdr:colOff>
          <xdr:row>30</xdr:row>
          <xdr:rowOff>104775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2D0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180975</xdr:colOff>
          <xdr:row>32</xdr:row>
          <xdr:rowOff>247650</xdr:rowOff>
        </xdr:from>
        <xdr:to>
          <xdr:col>7</xdr:col>
          <xdr:colOff>1076325</xdr:colOff>
          <xdr:row>34</xdr:row>
          <xdr:rowOff>133350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2D0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chov včiel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37</xdr:row>
          <xdr:rowOff>66675</xdr:rowOff>
        </xdr:from>
        <xdr:to>
          <xdr:col>7</xdr:col>
          <xdr:colOff>1066800</xdr:colOff>
          <xdr:row>37</xdr:row>
          <xdr:rowOff>495300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92D05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chov hydiny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43</xdr:row>
          <xdr:rowOff>0</xdr:rowOff>
        </xdr:from>
        <xdr:to>
          <xdr:col>8</xdr:col>
          <xdr:colOff>0</xdr:colOff>
          <xdr:row>49</xdr:row>
          <xdr:rowOff>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44</xdr:row>
          <xdr:rowOff>104775</xdr:rowOff>
        </xdr:from>
        <xdr:to>
          <xdr:col>7</xdr:col>
          <xdr:colOff>1047750</xdr:colOff>
          <xdr:row>46</xdr:row>
          <xdr:rowOff>28575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46</xdr:row>
          <xdr:rowOff>228600</xdr:rowOff>
        </xdr:from>
        <xdr:to>
          <xdr:col>7</xdr:col>
          <xdr:colOff>1038225</xdr:colOff>
          <xdr:row>47</xdr:row>
          <xdr:rowOff>123825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4</xdr:col>
          <xdr:colOff>0</xdr:colOff>
          <xdr:row>7</xdr:row>
          <xdr:rowOff>247650</xdr:rowOff>
        </xdr:to>
        <xdr:sp macro="" textlink="">
          <xdr:nvSpPr>
            <xdr:cNvPr id="2074" name="Option Button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menej rozvinuté regióny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238125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iné regióny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0"/>
  <sheetViews>
    <sheetView tabSelected="1" topLeftCell="A16" zoomScaleNormal="100" workbookViewId="0">
      <selection activeCell="C2" sqref="C2"/>
    </sheetView>
  </sheetViews>
  <sheetFormatPr defaultRowHeight="12.75" x14ac:dyDescent="0.2"/>
  <cols>
    <col min="1" max="1" width="4" style="1" bestFit="1" customWidth="1"/>
    <col min="2" max="2" width="19.5703125" style="1" customWidth="1"/>
    <col min="3" max="3" width="17.28515625" style="1" customWidth="1"/>
    <col min="4" max="5" width="9.140625" style="1"/>
    <col min="6" max="6" width="5" style="12" bestFit="1" customWidth="1"/>
    <col min="7" max="7" width="49.42578125" style="1" customWidth="1"/>
    <col min="8" max="8" width="17.7109375" style="1" customWidth="1"/>
    <col min="9" max="9" width="12.140625" style="1" bestFit="1" customWidth="1"/>
    <col min="10" max="10" width="9.140625" style="1" customWidth="1"/>
    <col min="11" max="11" width="16.7109375" customWidth="1"/>
    <col min="12" max="12" width="23.7109375" hidden="1" customWidth="1"/>
    <col min="13" max="13" width="12.7109375" hidden="1" customWidth="1"/>
    <col min="14" max="14" width="11.42578125" hidden="1" customWidth="1"/>
    <col min="15" max="15" width="16.7109375" hidden="1" customWidth="1"/>
    <col min="16" max="16" width="20.7109375" hidden="1" customWidth="1"/>
    <col min="17" max="17" width="16.7109375" hidden="1" customWidth="1"/>
    <col min="18" max="20" width="0" hidden="1" customWidth="1"/>
    <col min="21" max="16384" width="9.140625" style="1"/>
  </cols>
  <sheetData>
    <row r="1" spans="1:20" x14ac:dyDescent="0.2">
      <c r="B1" s="84" t="s">
        <v>170</v>
      </c>
      <c r="L1" s="27" t="s">
        <v>80</v>
      </c>
      <c r="M1" s="28">
        <v>4.99</v>
      </c>
      <c r="N1" s="76"/>
      <c r="O1" s="76"/>
      <c r="P1" s="76"/>
      <c r="Q1" s="76"/>
      <c r="R1" s="76"/>
    </row>
    <row r="2" spans="1:20" x14ac:dyDescent="0.2">
      <c r="B2" s="3" t="s">
        <v>171</v>
      </c>
      <c r="C2" s="30" t="s">
        <v>172</v>
      </c>
      <c r="L2" s="27"/>
      <c r="M2" s="28"/>
      <c r="N2" s="76"/>
      <c r="O2" s="76"/>
      <c r="P2" s="76"/>
      <c r="Q2" s="76"/>
      <c r="R2" s="76"/>
    </row>
    <row r="3" spans="1:20" x14ac:dyDescent="0.2">
      <c r="L3" s="27" t="s">
        <v>81</v>
      </c>
      <c r="M3" s="28">
        <v>6.67</v>
      </c>
      <c r="N3" s="76"/>
      <c r="O3" s="76"/>
      <c r="P3" s="76"/>
      <c r="Q3" s="76"/>
      <c r="R3" s="76"/>
    </row>
    <row r="4" spans="1:20" ht="20.25" customHeight="1" x14ac:dyDescent="0.2">
      <c r="B4" s="4" t="s">
        <v>9</v>
      </c>
      <c r="C4" s="119"/>
      <c r="D4" s="120"/>
      <c r="E4" s="120"/>
      <c r="F4" s="120"/>
      <c r="G4" s="120"/>
      <c r="H4" s="120"/>
      <c r="I4" s="121"/>
      <c r="L4" s="27" t="s">
        <v>82</v>
      </c>
      <c r="M4" s="28">
        <v>5.87</v>
      </c>
      <c r="N4" s="76"/>
      <c r="O4" s="76"/>
      <c r="P4" s="76"/>
      <c r="Q4" s="76"/>
      <c r="R4" s="76"/>
    </row>
    <row r="5" spans="1:20" ht="20.25" customHeight="1" x14ac:dyDescent="0.2">
      <c r="B5" s="4" t="s">
        <v>10</v>
      </c>
      <c r="C5" s="122"/>
      <c r="D5" s="122"/>
      <c r="E5" s="8"/>
      <c r="F5" s="13"/>
      <c r="G5" s="8"/>
      <c r="H5" s="8"/>
      <c r="I5" s="8"/>
      <c r="L5" s="27" t="s">
        <v>83</v>
      </c>
      <c r="M5" s="28">
        <v>5.49</v>
      </c>
      <c r="N5" s="76"/>
      <c r="O5" s="76"/>
      <c r="P5" s="76"/>
      <c r="Q5" s="76"/>
      <c r="R5" s="76"/>
    </row>
    <row r="6" spans="1:20" ht="20.25" customHeight="1" x14ac:dyDescent="0.2">
      <c r="B6" s="4" t="s">
        <v>11</v>
      </c>
      <c r="C6" s="123"/>
      <c r="D6" s="123"/>
      <c r="E6" s="9"/>
      <c r="F6" s="14"/>
      <c r="G6" s="9"/>
      <c r="H6" s="9"/>
      <c r="I6" s="9"/>
      <c r="L6" s="27" t="s">
        <v>84</v>
      </c>
      <c r="M6" s="28">
        <v>5.3</v>
      </c>
      <c r="N6" s="76"/>
      <c r="O6" s="76"/>
      <c r="P6" s="76"/>
      <c r="Q6" s="76"/>
      <c r="R6" s="76"/>
    </row>
    <row r="7" spans="1:20" ht="41.25" customHeight="1" x14ac:dyDescent="0.2">
      <c r="B7" s="4" t="s">
        <v>69</v>
      </c>
      <c r="C7" s="123"/>
      <c r="D7" s="123"/>
      <c r="E7" s="9"/>
      <c r="F7" s="14"/>
      <c r="G7" s="9"/>
      <c r="H7" s="9"/>
      <c r="I7" s="9"/>
      <c r="L7" s="27" t="s">
        <v>85</v>
      </c>
      <c r="M7" s="28">
        <v>7.43</v>
      </c>
      <c r="N7" s="76"/>
      <c r="O7" s="76"/>
      <c r="P7" s="76"/>
      <c r="Q7" s="76"/>
      <c r="R7" s="76"/>
    </row>
    <row r="8" spans="1:20" ht="38.25" customHeight="1" x14ac:dyDescent="0.2">
      <c r="B8" s="5" t="s">
        <v>12</v>
      </c>
      <c r="C8" s="124"/>
      <c r="D8" s="124"/>
      <c r="E8" s="10"/>
      <c r="F8" s="15"/>
      <c r="G8" s="10"/>
      <c r="H8" s="10"/>
      <c r="I8" s="10"/>
      <c r="L8" s="27" t="s">
        <v>86</v>
      </c>
      <c r="M8" s="28">
        <v>7.41</v>
      </c>
      <c r="N8" s="76"/>
      <c r="O8" s="76"/>
      <c r="P8" s="76"/>
      <c r="Q8" s="76"/>
      <c r="R8" s="76"/>
    </row>
    <row r="9" spans="1:20" ht="15.75" customHeight="1" x14ac:dyDescent="0.2">
      <c r="B9" s="4" t="s">
        <v>13</v>
      </c>
      <c r="C9" s="123"/>
      <c r="D9" s="123"/>
      <c r="E9" s="10"/>
      <c r="F9" s="15"/>
      <c r="G9" s="10"/>
      <c r="H9" s="10"/>
      <c r="I9" s="10"/>
      <c r="L9" s="27" t="s">
        <v>87</v>
      </c>
      <c r="M9" s="28">
        <v>6.22</v>
      </c>
      <c r="N9" s="76"/>
      <c r="O9" s="76"/>
      <c r="P9" s="76"/>
      <c r="Q9" s="76"/>
      <c r="R9" s="76"/>
    </row>
    <row r="10" spans="1:20" x14ac:dyDescent="0.2">
      <c r="L10" s="27" t="s">
        <v>88</v>
      </c>
      <c r="M10" s="28">
        <v>10.34</v>
      </c>
      <c r="N10" s="76"/>
      <c r="O10" s="76"/>
      <c r="P10" s="76"/>
      <c r="Q10" s="76"/>
      <c r="R10" s="76"/>
    </row>
    <row r="11" spans="1:20" x14ac:dyDescent="0.2">
      <c r="A11" s="2" t="s">
        <v>0</v>
      </c>
      <c r="B11" s="6" t="s">
        <v>14</v>
      </c>
      <c r="C11" s="7"/>
      <c r="D11" s="7"/>
      <c r="E11" s="11"/>
      <c r="F11" s="2" t="s">
        <v>32</v>
      </c>
      <c r="G11" s="2" t="s">
        <v>33</v>
      </c>
      <c r="H11" s="22"/>
      <c r="I11" s="2" t="s">
        <v>36</v>
      </c>
      <c r="L11" s="27" t="s">
        <v>89</v>
      </c>
      <c r="M11" s="28">
        <v>5.43</v>
      </c>
      <c r="N11" s="76"/>
      <c r="O11" s="76"/>
      <c r="P11" s="76"/>
      <c r="Q11" s="76"/>
      <c r="R11" s="76"/>
    </row>
    <row r="12" spans="1:20" ht="35.25" customHeight="1" x14ac:dyDescent="0.2">
      <c r="A12" s="103" t="s">
        <v>1</v>
      </c>
      <c r="B12" s="111" t="s">
        <v>61</v>
      </c>
      <c r="C12" s="112"/>
      <c r="D12" s="112"/>
      <c r="E12" s="113"/>
      <c r="F12" s="16"/>
      <c r="G12" s="97" t="s">
        <v>63</v>
      </c>
      <c r="H12" s="23" t="s">
        <v>35</v>
      </c>
      <c r="I12" s="106">
        <f>IF(H13&lt;=15,3,IF(H13&gt;15,5,""))</f>
        <v>3</v>
      </c>
      <c r="L12" s="27" t="s">
        <v>90</v>
      </c>
      <c r="M12" s="28">
        <v>7.87</v>
      </c>
      <c r="N12" s="76"/>
      <c r="O12" s="76"/>
      <c r="P12" s="76"/>
      <c r="Q12" s="76"/>
      <c r="R12" s="76"/>
    </row>
    <row r="13" spans="1:20" ht="17.25" customHeight="1" x14ac:dyDescent="0.2">
      <c r="A13" s="104"/>
      <c r="B13" s="128" t="s">
        <v>15</v>
      </c>
      <c r="C13" s="129"/>
      <c r="D13" s="129"/>
      <c r="E13" s="130"/>
      <c r="F13" s="32">
        <v>3</v>
      </c>
      <c r="G13" s="98"/>
      <c r="H13" s="131">
        <f>TRANSPOSE(Nezamestanosť!E44)</f>
        <v>0</v>
      </c>
      <c r="I13" s="107"/>
      <c r="L13" s="27" t="s">
        <v>91</v>
      </c>
      <c r="M13" s="28">
        <v>7.51</v>
      </c>
      <c r="N13" s="76"/>
      <c r="O13" s="76"/>
      <c r="P13" s="76"/>
      <c r="Q13" s="76"/>
      <c r="R13" s="76"/>
    </row>
    <row r="14" spans="1:20" ht="17.25" customHeight="1" x14ac:dyDescent="0.2">
      <c r="A14" s="105"/>
      <c r="B14" s="133" t="s">
        <v>16</v>
      </c>
      <c r="C14" s="134"/>
      <c r="D14" s="134"/>
      <c r="E14" s="135"/>
      <c r="F14" s="33">
        <v>5</v>
      </c>
      <c r="G14" s="118"/>
      <c r="H14" s="132"/>
      <c r="I14" s="108"/>
      <c r="L14" s="27" t="s">
        <v>92</v>
      </c>
      <c r="M14" s="28">
        <v>11.25</v>
      </c>
      <c r="N14" s="76"/>
      <c r="O14" s="76"/>
      <c r="P14" s="76"/>
      <c r="Q14" s="76"/>
      <c r="R14" s="76"/>
    </row>
    <row r="15" spans="1:20" ht="108" customHeight="1" x14ac:dyDescent="0.2">
      <c r="A15" s="35" t="s">
        <v>2</v>
      </c>
      <c r="B15" s="88" t="s">
        <v>17</v>
      </c>
      <c r="C15" s="89"/>
      <c r="D15" s="89"/>
      <c r="E15" s="90"/>
      <c r="F15" s="34">
        <v>4</v>
      </c>
      <c r="G15" s="21" t="s">
        <v>64</v>
      </c>
      <c r="H15" s="24"/>
      <c r="I15" s="26" t="str">
        <f>TRANSPOSE(O15)</f>
        <v/>
      </c>
      <c r="L15" s="27" t="s">
        <v>93</v>
      </c>
      <c r="M15" s="28">
        <v>8.27</v>
      </c>
      <c r="N15" s="77">
        <v>0</v>
      </c>
      <c r="O15" s="77" t="str">
        <f>IF(OR(N15="",N15=0),"",IF(N15=1,4,IF(N15=2,0,"")))</f>
        <v/>
      </c>
      <c r="P15" s="76"/>
      <c r="Q15" s="76"/>
      <c r="R15" s="76"/>
    </row>
    <row r="16" spans="1:20" s="29" customFormat="1" ht="47.25" customHeight="1" x14ac:dyDescent="0.2">
      <c r="A16" s="125" t="s">
        <v>3</v>
      </c>
      <c r="B16" s="136" t="s">
        <v>18</v>
      </c>
      <c r="C16" s="92"/>
      <c r="D16" s="92"/>
      <c r="E16" s="93"/>
      <c r="F16" s="31">
        <v>1</v>
      </c>
      <c r="G16" s="97" t="s">
        <v>65</v>
      </c>
      <c r="H16" s="37"/>
      <c r="I16" s="106" t="str">
        <f>TRANSPOSE(Q17)</f>
        <v/>
      </c>
      <c r="K16"/>
      <c r="L16" s="27" t="s">
        <v>94</v>
      </c>
      <c r="M16" s="28">
        <v>6.44</v>
      </c>
      <c r="N16" s="76"/>
      <c r="O16" s="76"/>
      <c r="P16" s="76"/>
      <c r="Q16" s="76"/>
      <c r="R16" s="76"/>
      <c r="S16"/>
      <c r="T16"/>
    </row>
    <row r="17" spans="1:20" s="29" customFormat="1" ht="27" customHeight="1" x14ac:dyDescent="0.2">
      <c r="A17" s="126"/>
      <c r="B17" s="91" t="s">
        <v>19</v>
      </c>
      <c r="C17" s="92"/>
      <c r="D17" s="92"/>
      <c r="E17" s="93"/>
      <c r="F17" s="31">
        <v>3</v>
      </c>
      <c r="G17" s="116"/>
      <c r="H17" s="38"/>
      <c r="I17" s="107"/>
      <c r="K17"/>
      <c r="L17" s="27" t="s">
        <v>95</v>
      </c>
      <c r="M17" s="28">
        <v>10.24</v>
      </c>
      <c r="N17" s="76"/>
      <c r="O17" s="76"/>
      <c r="P17" s="77">
        <v>0</v>
      </c>
      <c r="Q17" s="77" t="str">
        <f>IF(P17=1,1,IF(P17=2,3,IF(P17=3,6,IF(P17=4,0,""))))</f>
        <v/>
      </c>
      <c r="R17" s="76"/>
      <c r="S17"/>
      <c r="T17"/>
    </row>
    <row r="18" spans="1:20" s="29" customFormat="1" ht="30.75" customHeight="1" x14ac:dyDescent="0.2">
      <c r="A18" s="126"/>
      <c r="B18" s="91" t="s">
        <v>20</v>
      </c>
      <c r="C18" s="92"/>
      <c r="D18" s="92"/>
      <c r="E18" s="93"/>
      <c r="F18" s="31">
        <v>6</v>
      </c>
      <c r="G18" s="116"/>
      <c r="H18" s="38"/>
      <c r="I18" s="107"/>
      <c r="K18"/>
      <c r="L18" s="27" t="s">
        <v>96</v>
      </c>
      <c r="M18" s="28">
        <v>7.92</v>
      </c>
      <c r="N18" s="76"/>
      <c r="O18" s="76"/>
      <c r="P18" s="76"/>
      <c r="Q18" s="76"/>
      <c r="R18" s="76"/>
      <c r="S18"/>
      <c r="T18"/>
    </row>
    <row r="19" spans="1:20" s="29" customFormat="1" ht="30.75" customHeight="1" x14ac:dyDescent="0.2">
      <c r="A19" s="127"/>
      <c r="B19" s="94" t="s">
        <v>159</v>
      </c>
      <c r="C19" s="95"/>
      <c r="D19" s="95"/>
      <c r="E19" s="96"/>
      <c r="F19" s="31">
        <v>0</v>
      </c>
      <c r="G19" s="117"/>
      <c r="H19" s="39"/>
      <c r="I19" s="108"/>
      <c r="K19"/>
      <c r="L19" s="27" t="s">
        <v>97</v>
      </c>
      <c r="M19" s="28">
        <v>7.74</v>
      </c>
      <c r="N19" s="76"/>
      <c r="O19" s="76"/>
      <c r="P19" s="76"/>
      <c r="Q19" s="76"/>
      <c r="R19" s="76"/>
      <c r="S19"/>
      <c r="T19"/>
    </row>
    <row r="20" spans="1:20" s="29" customFormat="1" ht="54" customHeight="1" x14ac:dyDescent="0.2">
      <c r="A20" s="40" t="s">
        <v>4</v>
      </c>
      <c r="B20" s="88" t="s">
        <v>59</v>
      </c>
      <c r="C20" s="89"/>
      <c r="D20" s="89"/>
      <c r="E20" s="90"/>
      <c r="F20" s="34">
        <v>5</v>
      </c>
      <c r="G20" s="47" t="s">
        <v>34</v>
      </c>
      <c r="H20" s="39"/>
      <c r="I20" s="41" t="str">
        <f>TRANSPOSE(Q20)</f>
        <v/>
      </c>
      <c r="K20"/>
      <c r="L20" s="27" t="s">
        <v>98</v>
      </c>
      <c r="M20" s="28">
        <v>7.69</v>
      </c>
      <c r="N20" s="76"/>
      <c r="O20" s="76"/>
      <c r="P20" s="77">
        <v>0</v>
      </c>
      <c r="Q20" s="77" t="str">
        <f>IF(OR(P20="",P20=0),"",IF(P20=1,5,IF(P20=2,0,"")))</f>
        <v/>
      </c>
      <c r="R20" s="76"/>
      <c r="S20"/>
      <c r="T20"/>
    </row>
    <row r="21" spans="1:20" s="29" customFormat="1" ht="123" customHeight="1" x14ac:dyDescent="0.2">
      <c r="A21" s="36" t="s">
        <v>5</v>
      </c>
      <c r="B21" s="88" t="s">
        <v>62</v>
      </c>
      <c r="C21" s="89"/>
      <c r="D21" s="89"/>
      <c r="E21" s="90"/>
      <c r="F21" s="31">
        <v>5</v>
      </c>
      <c r="G21" s="48" t="s">
        <v>66</v>
      </c>
      <c r="H21" s="39"/>
      <c r="I21" s="41" t="str">
        <f>TRANSPOSE(Q21)</f>
        <v/>
      </c>
      <c r="K21"/>
      <c r="L21" s="27" t="s">
        <v>99</v>
      </c>
      <c r="M21" s="28">
        <v>11.39</v>
      </c>
      <c r="N21" s="76"/>
      <c r="O21" s="76"/>
      <c r="P21" s="77">
        <v>0</v>
      </c>
      <c r="Q21" s="77" t="str">
        <f>IF(OR(P21="",P21=0),"",IF(P21=1,5,IF(P21=2,0,"")))</f>
        <v/>
      </c>
      <c r="R21" s="76"/>
      <c r="S21"/>
      <c r="T21"/>
    </row>
    <row r="22" spans="1:20" ht="32.25" customHeight="1" x14ac:dyDescent="0.2">
      <c r="A22" s="103" t="s">
        <v>6</v>
      </c>
      <c r="B22" s="111" t="s">
        <v>21</v>
      </c>
      <c r="C22" s="112"/>
      <c r="D22" s="112"/>
      <c r="E22" s="113"/>
      <c r="F22" s="18"/>
      <c r="G22" s="97" t="s">
        <v>67</v>
      </c>
      <c r="H22" s="99"/>
      <c r="I22" s="101" t="str">
        <f>TRANSPOSE(S28)</f>
        <v/>
      </c>
      <c r="L22" s="27" t="s">
        <v>100</v>
      </c>
      <c r="M22" s="28">
        <v>10.53</v>
      </c>
      <c r="N22" s="76"/>
      <c r="O22" s="76"/>
      <c r="P22" s="76"/>
      <c r="Q22" s="76"/>
      <c r="R22" s="76"/>
    </row>
    <row r="23" spans="1:20" ht="27" customHeight="1" x14ac:dyDescent="0.2">
      <c r="A23" s="104"/>
      <c r="B23" s="91" t="s">
        <v>39</v>
      </c>
      <c r="C23" s="92"/>
      <c r="D23" s="92"/>
      <c r="E23" s="93"/>
      <c r="F23" s="19"/>
      <c r="G23" s="98"/>
      <c r="H23" s="100"/>
      <c r="I23" s="102"/>
      <c r="L23" s="27" t="s">
        <v>101</v>
      </c>
      <c r="M23" s="28">
        <v>12.47</v>
      </c>
      <c r="N23" s="76"/>
      <c r="O23" s="76"/>
      <c r="P23" s="76"/>
      <c r="Q23" s="76"/>
      <c r="R23" s="76"/>
    </row>
    <row r="24" spans="1:20" x14ac:dyDescent="0.2">
      <c r="A24" s="104"/>
      <c r="B24" s="91" t="s">
        <v>40</v>
      </c>
      <c r="C24" s="92"/>
      <c r="D24" s="92"/>
      <c r="E24" s="93"/>
      <c r="F24" s="19"/>
      <c r="G24" s="98"/>
      <c r="H24" s="100"/>
      <c r="I24" s="102"/>
      <c r="L24" s="27" t="s">
        <v>102</v>
      </c>
      <c r="M24" s="28">
        <v>7.15</v>
      </c>
      <c r="N24" s="76"/>
      <c r="O24" s="76"/>
      <c r="P24" s="76"/>
      <c r="Q24" s="76"/>
      <c r="R24" s="76"/>
    </row>
    <row r="25" spans="1:20" x14ac:dyDescent="0.2">
      <c r="A25" s="104"/>
      <c r="B25" s="91" t="s">
        <v>41</v>
      </c>
      <c r="C25" s="92"/>
      <c r="D25" s="92"/>
      <c r="E25" s="93"/>
      <c r="F25" s="19"/>
      <c r="G25" s="98"/>
      <c r="H25" s="100"/>
      <c r="I25" s="102"/>
      <c r="L25" s="27" t="s">
        <v>103</v>
      </c>
      <c r="M25" s="28">
        <v>7.82</v>
      </c>
      <c r="N25" s="76"/>
      <c r="O25" s="76"/>
      <c r="P25" s="76"/>
      <c r="Q25" s="76"/>
      <c r="R25" s="76"/>
    </row>
    <row r="26" spans="1:20" x14ac:dyDescent="0.2">
      <c r="A26" s="104"/>
      <c r="B26" s="91" t="s">
        <v>42</v>
      </c>
      <c r="C26" s="92"/>
      <c r="D26" s="92"/>
      <c r="E26" s="93"/>
      <c r="F26" s="19"/>
      <c r="G26" s="98"/>
      <c r="H26" s="100"/>
      <c r="I26" s="102"/>
      <c r="L26" s="27" t="s">
        <v>104</v>
      </c>
      <c r="M26" s="28">
        <v>15.48</v>
      </c>
      <c r="N26" s="76"/>
      <c r="O26" s="76"/>
      <c r="P26" s="76"/>
      <c r="Q26" s="76"/>
      <c r="R26" s="76"/>
    </row>
    <row r="27" spans="1:20" x14ac:dyDescent="0.2">
      <c r="A27" s="104"/>
      <c r="B27" s="91" t="s">
        <v>43</v>
      </c>
      <c r="C27" s="92"/>
      <c r="D27" s="92"/>
      <c r="E27" s="93"/>
      <c r="F27" s="19"/>
      <c r="G27" s="98"/>
      <c r="H27" s="100"/>
      <c r="I27" s="102"/>
      <c r="L27" s="27" t="s">
        <v>105</v>
      </c>
      <c r="M27" s="28">
        <v>12.91</v>
      </c>
      <c r="N27" s="76"/>
      <c r="O27" s="76"/>
      <c r="P27" s="76"/>
      <c r="Q27" s="76"/>
      <c r="R27" s="76"/>
    </row>
    <row r="28" spans="1:20" ht="29.25" customHeight="1" x14ac:dyDescent="0.2">
      <c r="A28" s="104"/>
      <c r="B28" s="91" t="s">
        <v>44</v>
      </c>
      <c r="C28" s="92"/>
      <c r="D28" s="92"/>
      <c r="E28" s="93"/>
      <c r="F28" s="17">
        <v>25</v>
      </c>
      <c r="G28" s="98"/>
      <c r="H28" s="100"/>
      <c r="I28" s="102"/>
      <c r="L28" s="27" t="s">
        <v>106</v>
      </c>
      <c r="M28" s="28">
        <v>8.64</v>
      </c>
      <c r="N28" s="76"/>
      <c r="O28" s="76"/>
      <c r="P28" s="78">
        <v>0</v>
      </c>
      <c r="Q28" s="77" t="str">
        <f>IF(P28=1,IF(OR(C6="",C7=""),"",IF(AND(C7&lt;=50,C6&lt;=80000),25,IF(AND(C7&lt;=50,C6&gt;80000,C6&lt;=120000),23,IF(AND(C7&lt;=50,C6&gt;120000,C6&lt;=180000),21,IF(AND(C7&lt;=50,C6&gt;180000),17,IF(AND(C7&gt;50,C7&lt;=300,C6&lt;=150000),25,IF(AND(C7&gt;50,C7&lt;=300,C6&gt;150000,C6&lt;=200000),23,IF(AND(C7&gt;50,C7&lt;=300,C6&gt;200000,C6&lt;=300000),21,IF(AND(C7&gt;50,C7&lt;=300,C6&gt;300000),17,IF(AND(C7&gt;300,C6&lt;=200000),25,IF(AND(C7&gt;300,C6&gt;200000,C6&lt;=300000),23,IF(AND(C7&gt;300,C6&gt;300000,C6&lt;=450000),21,IF(AND(C7&gt;300,C6&gt;450000),17,))))))))))))),"")</f>
        <v/>
      </c>
      <c r="R28" s="77">
        <f>SUM(Q28:Q31)</f>
        <v>0</v>
      </c>
      <c r="S28" s="65" t="str">
        <f>IF(AND(Q28="",Q29="",Q30="",Q31=""),"",SUM(Q28:Q31))</f>
        <v/>
      </c>
    </row>
    <row r="29" spans="1:20" x14ac:dyDescent="0.2">
      <c r="A29" s="104"/>
      <c r="B29" s="91" t="s">
        <v>22</v>
      </c>
      <c r="C29" s="92"/>
      <c r="D29" s="92"/>
      <c r="E29" s="93"/>
      <c r="F29" s="17"/>
      <c r="G29" s="98"/>
      <c r="H29" s="100"/>
      <c r="I29" s="102"/>
      <c r="L29" s="27" t="s">
        <v>107</v>
      </c>
      <c r="M29" s="28">
        <v>10.85</v>
      </c>
      <c r="N29" s="76"/>
      <c r="O29" s="76"/>
      <c r="P29" s="76"/>
      <c r="Q29" s="77" t="str">
        <f>IF(P28=2,IF(AND(C6=""),"",IF(AND(C6&lt;=250000),25,IF(AND(C6&gt;250000,C6&lt;=350000),23,IF(AND(C6&gt;350000,C6&lt;=450000),21,IF(AND(C6&gt;450000),17,))))),"")</f>
        <v/>
      </c>
      <c r="R29" s="76"/>
    </row>
    <row r="30" spans="1:20" x14ac:dyDescent="0.2">
      <c r="A30" s="104"/>
      <c r="B30" s="91" t="s">
        <v>23</v>
      </c>
      <c r="C30" s="92"/>
      <c r="D30" s="92"/>
      <c r="E30" s="93"/>
      <c r="F30" s="17">
        <v>23</v>
      </c>
      <c r="G30" s="98"/>
      <c r="H30" s="100"/>
      <c r="I30" s="102"/>
      <c r="L30" s="27" t="s">
        <v>108</v>
      </c>
      <c r="M30" s="28">
        <v>8.5299999999999994</v>
      </c>
      <c r="N30" s="76"/>
      <c r="O30" s="76"/>
      <c r="P30" s="76"/>
      <c r="Q30" s="77" t="str">
        <f>IF(P28=3,IF(AND(C6=""),"",IF(C6&lt;=80000,25,IF(AND(C6&gt;80000,C6&lt;=120000),23,IF(AND(C6&gt;120000,C6&lt;=180000),21,IF(C6&gt;180000,17,""))))),"")</f>
        <v/>
      </c>
      <c r="R30" s="76"/>
    </row>
    <row r="31" spans="1:20" x14ac:dyDescent="0.2">
      <c r="A31" s="104"/>
      <c r="B31" s="91" t="s">
        <v>45</v>
      </c>
      <c r="C31" s="92"/>
      <c r="D31" s="92"/>
      <c r="E31" s="93"/>
      <c r="F31" s="17"/>
      <c r="G31" s="98"/>
      <c r="H31" s="100"/>
      <c r="I31" s="102"/>
      <c r="L31" s="27" t="s">
        <v>109</v>
      </c>
      <c r="M31" s="28">
        <v>11.08</v>
      </c>
      <c r="N31" s="76"/>
      <c r="O31" s="76"/>
      <c r="P31" s="76"/>
      <c r="Q31" s="77" t="str">
        <f>IF(P28=4,IF(AND(C6=""),"",IF(C6&lt;=150000,25,IF(AND(C6&gt;150000,C6&lt;=200000),23,IF(AND(C6&gt;200000,C6&lt;=300000),21,IF(C6&gt;300000,17,""))))),"")</f>
        <v/>
      </c>
      <c r="R31" s="76"/>
    </row>
    <row r="32" spans="1:20" x14ac:dyDescent="0.2">
      <c r="A32" s="104"/>
      <c r="B32" s="91" t="s">
        <v>46</v>
      </c>
      <c r="C32" s="92"/>
      <c r="D32" s="92"/>
      <c r="E32" s="93"/>
      <c r="F32" s="17">
        <v>21</v>
      </c>
      <c r="G32" s="98"/>
      <c r="H32" s="100"/>
      <c r="I32" s="102"/>
      <c r="J32" s="30"/>
      <c r="L32" s="27" t="s">
        <v>110</v>
      </c>
      <c r="M32" s="28">
        <v>10.41</v>
      </c>
      <c r="N32" s="76"/>
      <c r="O32" s="76"/>
      <c r="P32" s="76"/>
      <c r="Q32" s="76"/>
      <c r="R32" s="76"/>
    </row>
    <row r="33" spans="1:19" ht="30" customHeight="1" x14ac:dyDescent="0.2">
      <c r="A33" s="104"/>
      <c r="B33" s="91" t="s">
        <v>47</v>
      </c>
      <c r="C33" s="92"/>
      <c r="D33" s="92"/>
      <c r="E33" s="93"/>
      <c r="F33" s="19"/>
      <c r="G33" s="98"/>
      <c r="H33" s="100"/>
      <c r="I33" s="102"/>
      <c r="L33" s="27" t="s">
        <v>111</v>
      </c>
      <c r="M33" s="28">
        <v>14.3</v>
      </c>
      <c r="N33" s="76"/>
      <c r="O33" s="76"/>
      <c r="P33" s="76"/>
      <c r="Q33" s="76"/>
      <c r="R33" s="76"/>
    </row>
    <row r="34" spans="1:19" x14ac:dyDescent="0.2">
      <c r="A34" s="104"/>
      <c r="B34" s="91" t="s">
        <v>48</v>
      </c>
      <c r="C34" s="92"/>
      <c r="D34" s="92"/>
      <c r="E34" s="93"/>
      <c r="F34" s="20">
        <v>17</v>
      </c>
      <c r="G34" s="98"/>
      <c r="H34" s="100"/>
      <c r="I34" s="102"/>
      <c r="L34" s="27" t="s">
        <v>112</v>
      </c>
      <c r="M34" s="28">
        <v>12.37</v>
      </c>
      <c r="N34" s="76"/>
      <c r="O34" s="76"/>
      <c r="P34" s="76"/>
      <c r="Q34" s="76"/>
      <c r="R34" s="76"/>
    </row>
    <row r="35" spans="1:19" x14ac:dyDescent="0.2">
      <c r="A35" s="104"/>
      <c r="B35" s="91" t="s">
        <v>49</v>
      </c>
      <c r="C35" s="92"/>
      <c r="D35" s="92"/>
      <c r="E35" s="93"/>
      <c r="F35" s="19"/>
      <c r="G35" s="98"/>
      <c r="H35" s="100"/>
      <c r="I35" s="102"/>
      <c r="L35" s="27" t="s">
        <v>113</v>
      </c>
      <c r="M35" s="28">
        <v>12.65</v>
      </c>
      <c r="N35" s="76"/>
      <c r="O35" s="76"/>
      <c r="P35" s="76"/>
      <c r="Q35" s="76"/>
      <c r="R35" s="76"/>
    </row>
    <row r="36" spans="1:19" x14ac:dyDescent="0.2">
      <c r="A36" s="104"/>
      <c r="B36" s="91" t="s">
        <v>50</v>
      </c>
      <c r="C36" s="92"/>
      <c r="D36" s="92"/>
      <c r="E36" s="93"/>
      <c r="F36" s="19"/>
      <c r="G36" s="98"/>
      <c r="H36" s="100"/>
      <c r="I36" s="102"/>
      <c r="L36" s="27" t="s">
        <v>114</v>
      </c>
      <c r="M36" s="28">
        <v>12.28</v>
      </c>
      <c r="N36" s="76"/>
      <c r="O36" s="76"/>
      <c r="P36" s="76"/>
      <c r="Q36" s="76"/>
      <c r="R36" s="76"/>
    </row>
    <row r="37" spans="1:19" x14ac:dyDescent="0.2">
      <c r="A37" s="104"/>
      <c r="B37" s="91" t="s">
        <v>51</v>
      </c>
      <c r="C37" s="92"/>
      <c r="D37" s="92"/>
      <c r="E37" s="93"/>
      <c r="F37" s="19"/>
      <c r="G37" s="98"/>
      <c r="H37" s="100"/>
      <c r="I37" s="102"/>
      <c r="L37" s="27" t="s">
        <v>115</v>
      </c>
      <c r="M37" s="28">
        <v>12.04</v>
      </c>
      <c r="N37" s="76"/>
      <c r="O37" s="76"/>
      <c r="P37" s="76"/>
      <c r="Q37" s="76"/>
      <c r="R37" s="76"/>
    </row>
    <row r="38" spans="1:19" ht="66.75" customHeight="1" x14ac:dyDescent="0.2">
      <c r="A38" s="104"/>
      <c r="B38" s="91" t="s">
        <v>52</v>
      </c>
      <c r="C38" s="92"/>
      <c r="D38" s="92"/>
      <c r="E38" s="93"/>
      <c r="F38" s="19"/>
      <c r="G38" s="98"/>
      <c r="H38" s="100"/>
      <c r="I38" s="102"/>
      <c r="L38" s="27" t="s">
        <v>116</v>
      </c>
      <c r="M38" s="28">
        <v>8.34</v>
      </c>
      <c r="N38" s="76"/>
      <c r="O38" s="76"/>
      <c r="P38" s="76"/>
      <c r="Q38" s="76"/>
      <c r="R38" s="76"/>
    </row>
    <row r="39" spans="1:19" x14ac:dyDescent="0.2">
      <c r="A39" s="104"/>
      <c r="B39" s="91" t="s">
        <v>24</v>
      </c>
      <c r="C39" s="92"/>
      <c r="D39" s="92"/>
      <c r="E39" s="93"/>
      <c r="F39" s="19"/>
      <c r="G39" s="98"/>
      <c r="H39" s="100"/>
      <c r="I39" s="102"/>
      <c r="L39" s="27" t="s">
        <v>117</v>
      </c>
      <c r="M39" s="28">
        <v>12.53</v>
      </c>
      <c r="N39" s="76"/>
      <c r="O39" s="76"/>
      <c r="P39" s="76"/>
      <c r="Q39" s="76"/>
      <c r="R39" s="76"/>
    </row>
    <row r="40" spans="1:19" x14ac:dyDescent="0.2">
      <c r="A40" s="104"/>
      <c r="B40" s="91" t="s">
        <v>53</v>
      </c>
      <c r="C40" s="92"/>
      <c r="D40" s="92"/>
      <c r="E40" s="93"/>
      <c r="F40" s="19"/>
      <c r="G40" s="98"/>
      <c r="H40" s="100"/>
      <c r="I40" s="102"/>
      <c r="L40" s="27" t="s">
        <v>118</v>
      </c>
      <c r="M40" s="28">
        <v>11.87</v>
      </c>
      <c r="N40" s="76"/>
      <c r="O40" s="76"/>
      <c r="P40" s="76"/>
      <c r="Q40" s="76"/>
      <c r="R40" s="76"/>
    </row>
    <row r="41" spans="1:19" x14ac:dyDescent="0.2">
      <c r="A41" s="104"/>
      <c r="B41" s="91" t="s">
        <v>50</v>
      </c>
      <c r="C41" s="92"/>
      <c r="D41" s="92"/>
      <c r="E41" s="93"/>
      <c r="F41" s="19"/>
      <c r="G41" s="98"/>
      <c r="H41" s="100"/>
      <c r="I41" s="102"/>
      <c r="L41" s="27" t="s">
        <v>119</v>
      </c>
      <c r="M41" s="28">
        <v>12.6</v>
      </c>
      <c r="N41" s="76"/>
      <c r="O41" s="76"/>
      <c r="P41" s="76"/>
      <c r="Q41" s="76"/>
      <c r="R41" s="76"/>
    </row>
    <row r="42" spans="1:19" x14ac:dyDescent="0.2">
      <c r="A42" s="105"/>
      <c r="B42" s="94" t="s">
        <v>51</v>
      </c>
      <c r="C42" s="95"/>
      <c r="D42" s="95"/>
      <c r="E42" s="96"/>
      <c r="F42" s="19"/>
      <c r="G42" s="98"/>
      <c r="H42" s="100"/>
      <c r="I42" s="102"/>
      <c r="L42" s="27" t="s">
        <v>120</v>
      </c>
      <c r="M42" s="28">
        <v>11.18</v>
      </c>
      <c r="N42" s="76"/>
      <c r="O42" s="76"/>
      <c r="P42" s="67" t="s">
        <v>161</v>
      </c>
      <c r="Q42" s="67" t="s">
        <v>162</v>
      </c>
      <c r="R42" s="76"/>
    </row>
    <row r="43" spans="1:19" ht="33.75" customHeight="1" x14ac:dyDescent="0.2">
      <c r="A43" s="103" t="s">
        <v>7</v>
      </c>
      <c r="B43" s="111" t="s">
        <v>25</v>
      </c>
      <c r="C43" s="112"/>
      <c r="D43" s="112"/>
      <c r="E43" s="112"/>
      <c r="F43" s="43"/>
      <c r="G43" s="97" t="s">
        <v>68</v>
      </c>
      <c r="H43" s="66" t="s">
        <v>160</v>
      </c>
      <c r="I43" s="106" t="str">
        <f>TRANSPOSE(S46)</f>
        <v/>
      </c>
      <c r="L43" s="27" t="s">
        <v>121</v>
      </c>
      <c r="M43" s="28">
        <v>8.5399999999999991</v>
      </c>
      <c r="N43" s="76"/>
      <c r="O43" s="76"/>
      <c r="P43" s="68" t="s">
        <v>163</v>
      </c>
      <c r="Q43" s="68" t="s">
        <v>163</v>
      </c>
      <c r="R43" s="76"/>
    </row>
    <row r="44" spans="1:19" x14ac:dyDescent="0.2">
      <c r="A44" s="104"/>
      <c r="B44" s="91" t="s">
        <v>37</v>
      </c>
      <c r="C44" s="92"/>
      <c r="D44" s="92"/>
      <c r="E44" s="92"/>
      <c r="F44" s="44"/>
      <c r="G44" s="98"/>
      <c r="H44" s="109"/>
      <c r="I44" s="107"/>
      <c r="L44" s="27" t="s">
        <v>122</v>
      </c>
      <c r="M44" s="28">
        <v>8.9</v>
      </c>
      <c r="N44" s="76"/>
      <c r="O44" s="76"/>
      <c r="P44" s="69">
        <v>0.5</v>
      </c>
      <c r="Q44" s="69">
        <v>0.4</v>
      </c>
      <c r="R44" s="76"/>
    </row>
    <row r="45" spans="1:19" x14ac:dyDescent="0.2">
      <c r="A45" s="104"/>
      <c r="B45" s="91" t="s">
        <v>26</v>
      </c>
      <c r="C45" s="92"/>
      <c r="D45" s="92"/>
      <c r="E45" s="92"/>
      <c r="F45" s="44">
        <v>4</v>
      </c>
      <c r="G45" s="98"/>
      <c r="H45" s="109"/>
      <c r="I45" s="107"/>
      <c r="L45" s="27" t="s">
        <v>123</v>
      </c>
      <c r="M45" s="28">
        <v>17.510000000000002</v>
      </c>
      <c r="N45" s="76"/>
      <c r="O45" s="76"/>
      <c r="P45" s="68" t="s">
        <v>164</v>
      </c>
      <c r="Q45" s="68" t="s">
        <v>164</v>
      </c>
      <c r="R45" s="76"/>
    </row>
    <row r="46" spans="1:19" x14ac:dyDescent="0.2">
      <c r="A46" s="104"/>
      <c r="B46" s="91" t="s">
        <v>27</v>
      </c>
      <c r="C46" s="92"/>
      <c r="D46" s="92"/>
      <c r="E46" s="92"/>
      <c r="F46" s="44"/>
      <c r="G46" s="98"/>
      <c r="H46" s="109"/>
      <c r="I46" s="107"/>
      <c r="L46" s="27" t="s">
        <v>124</v>
      </c>
      <c r="M46" s="28">
        <v>13.41</v>
      </c>
      <c r="N46" s="76"/>
      <c r="O46" s="76"/>
      <c r="P46" s="69">
        <v>0.7</v>
      </c>
      <c r="Q46" s="69">
        <v>0.6</v>
      </c>
      <c r="R46" s="77">
        <f>SUM(Q47:Q50)</f>
        <v>0</v>
      </c>
      <c r="S46" s="65" t="str">
        <f>IF(OR(P47=0,P48=0),"",IF(OR(C6="",C9=""),"",R46))</f>
        <v/>
      </c>
    </row>
    <row r="47" spans="1:19" ht="27.75" customHeight="1" x14ac:dyDescent="0.2">
      <c r="A47" s="104"/>
      <c r="B47" s="91" t="s">
        <v>38</v>
      </c>
      <c r="C47" s="92"/>
      <c r="D47" s="92"/>
      <c r="E47" s="92"/>
      <c r="F47" s="44">
        <v>8</v>
      </c>
      <c r="G47" s="98"/>
      <c r="H47" s="109"/>
      <c r="I47" s="107"/>
      <c r="L47" s="27" t="s">
        <v>125</v>
      </c>
      <c r="M47" s="28">
        <v>14.57</v>
      </c>
      <c r="N47" s="76"/>
      <c r="O47" s="76"/>
      <c r="P47" s="77">
        <v>0</v>
      </c>
      <c r="Q47" s="77" t="str">
        <f>IF(OR(C6="",C9=""),"",IF(AND(P47=1,P48=1),IF(AND((P46-P49)&gt;=0.2,(P46-P49)&lt;0.3),4,IF((P46-P49)&gt;=0.3,8,)),0))</f>
        <v/>
      </c>
      <c r="R47" s="76"/>
    </row>
    <row r="48" spans="1:19" ht="15" customHeight="1" x14ac:dyDescent="0.2">
      <c r="A48" s="104"/>
      <c r="B48" s="91" t="s">
        <v>28</v>
      </c>
      <c r="C48" s="92"/>
      <c r="D48" s="92"/>
      <c r="E48" s="92"/>
      <c r="F48" s="45"/>
      <c r="G48" s="98"/>
      <c r="H48" s="109"/>
      <c r="I48" s="107"/>
      <c r="L48" s="27" t="s">
        <v>126</v>
      </c>
      <c r="M48" s="28">
        <v>16.95</v>
      </c>
      <c r="N48" s="76"/>
      <c r="O48" s="76"/>
      <c r="P48" s="77">
        <v>0</v>
      </c>
      <c r="Q48" s="77" t="str">
        <f>IF(OR(C6="",C9=""),"",IF(AND(P47=1,P48=2),IF(AND((P44-P49)&gt;=0.05,(P44-P49)&lt;0.1),4,IF((P44-P49)&gt;=0.1,8,)),0))</f>
        <v/>
      </c>
      <c r="R48" s="76"/>
    </row>
    <row r="49" spans="1:19" x14ac:dyDescent="0.2">
      <c r="A49" s="105"/>
      <c r="B49" s="94" t="s">
        <v>29</v>
      </c>
      <c r="C49" s="95"/>
      <c r="D49" s="95"/>
      <c r="E49" s="95"/>
      <c r="F49" s="46"/>
      <c r="G49" s="118"/>
      <c r="H49" s="110"/>
      <c r="I49" s="108"/>
      <c r="L49" s="27" t="s">
        <v>127</v>
      </c>
      <c r="M49" s="28">
        <v>20.079999999999998</v>
      </c>
      <c r="N49" s="76"/>
      <c r="O49" s="76"/>
      <c r="P49" s="77" t="e">
        <f>C9/C6</f>
        <v>#DIV/0!</v>
      </c>
      <c r="Q49" s="77" t="str">
        <f>IF(OR(C6="",C9=""),"",IF(AND(P47=2,P48=1),IF(AND((Q46-P49)&gt;=0.2,(Q46-P49)&lt;0.3),4,IF((Q46-P49)&gt;=0.3,8,)),0))</f>
        <v/>
      </c>
      <c r="R49" s="76"/>
    </row>
    <row r="50" spans="1:19" ht="27" customHeight="1" x14ac:dyDescent="0.2">
      <c r="A50" s="115" t="s">
        <v>60</v>
      </c>
      <c r="B50" s="111" t="s">
        <v>30</v>
      </c>
      <c r="C50" s="112"/>
      <c r="D50" s="112"/>
      <c r="E50" s="113"/>
      <c r="F50" s="43"/>
      <c r="G50" s="97" t="s">
        <v>168</v>
      </c>
      <c r="H50" s="23" t="s">
        <v>165</v>
      </c>
      <c r="I50" s="85" t="str">
        <f>TRANSPOSE(S53)</f>
        <v/>
      </c>
      <c r="L50" s="27" t="s">
        <v>128</v>
      </c>
      <c r="M50" s="28">
        <v>23.57</v>
      </c>
      <c r="N50" s="76"/>
      <c r="O50" s="76"/>
      <c r="P50" s="76"/>
      <c r="Q50" s="77" t="str">
        <f>IF(OR(C6="",C9=""),"",IF(AND(P47=2,P48=2),IF(AND((Q44-P49)&gt;=0.05,(Q44-P49)&lt;0.1),4,IF((Q44-P49)&gt;=0.1,8,)),0))</f>
        <v/>
      </c>
      <c r="R50" s="76"/>
    </row>
    <row r="51" spans="1:19" ht="90.75" customHeight="1" x14ac:dyDescent="0.2">
      <c r="A51" s="104"/>
      <c r="B51" s="91" t="s">
        <v>54</v>
      </c>
      <c r="C51" s="92"/>
      <c r="D51" s="92"/>
      <c r="E51" s="93"/>
      <c r="F51" s="32">
        <v>42</v>
      </c>
      <c r="G51" s="116"/>
      <c r="H51" s="75"/>
      <c r="I51" s="86"/>
      <c r="L51" s="27" t="s">
        <v>129</v>
      </c>
      <c r="M51" s="28">
        <v>26.82</v>
      </c>
      <c r="N51" s="76"/>
      <c r="O51" s="71"/>
      <c r="P51" s="79" t="s">
        <v>167</v>
      </c>
      <c r="Q51" s="79">
        <f>SUM(H51:H55)</f>
        <v>0</v>
      </c>
      <c r="R51" s="76"/>
    </row>
    <row r="52" spans="1:19" ht="90" customHeight="1" x14ac:dyDescent="0.2">
      <c r="A52" s="104"/>
      <c r="B52" s="91" t="s">
        <v>55</v>
      </c>
      <c r="C52" s="92"/>
      <c r="D52" s="92"/>
      <c r="E52" s="93"/>
      <c r="F52" s="32">
        <v>40</v>
      </c>
      <c r="G52" s="116"/>
      <c r="H52" s="75"/>
      <c r="I52" s="86"/>
      <c r="L52" s="27" t="s">
        <v>130</v>
      </c>
      <c r="M52" s="28">
        <v>29.84</v>
      </c>
      <c r="N52" s="76"/>
      <c r="O52" s="70" t="s">
        <v>166</v>
      </c>
      <c r="P52" s="72">
        <f>SUM(H51:H55)</f>
        <v>0</v>
      </c>
      <c r="Q52" s="76"/>
      <c r="R52" s="76"/>
    </row>
    <row r="53" spans="1:19" ht="69.75" customHeight="1" x14ac:dyDescent="0.2">
      <c r="A53" s="104"/>
      <c r="B53" s="91" t="s">
        <v>56</v>
      </c>
      <c r="C53" s="92"/>
      <c r="D53" s="92"/>
      <c r="E53" s="93"/>
      <c r="F53" s="32">
        <v>38</v>
      </c>
      <c r="G53" s="116"/>
      <c r="H53" s="75"/>
      <c r="I53" s="86"/>
      <c r="L53" s="27" t="s">
        <v>131</v>
      </c>
      <c r="M53" s="28">
        <v>22.17</v>
      </c>
      <c r="N53" s="76"/>
      <c r="O53" s="73" t="e">
        <f>H51/P52</f>
        <v>#DIV/0!</v>
      </c>
      <c r="P53" s="73">
        <f>IFERROR(O53,0)</f>
        <v>0</v>
      </c>
      <c r="Q53" s="77">
        <f>IF(P53&gt;=0.7,0.7,P53)</f>
        <v>0</v>
      </c>
      <c r="R53" s="77">
        <f>Q53</f>
        <v>0</v>
      </c>
      <c r="S53" s="65" t="str">
        <f>IF(SUM(P53:P57)=0,"",IF(AND(SUM(P53:P57)&gt;0,SUM(P53:P56)&lt;0.7),20,IF(AND(R53&gt;=0.7),42,IF(AND(R54&gt;=0.7),40,IF(AND(R55&gt;=0.7),38,IF(AND(R56&gt;=0.7),36,SUMPRODUCT(F51:F54,R53:R56)/SUM(R53:R56)))))))</f>
        <v/>
      </c>
    </row>
    <row r="54" spans="1:19" ht="54.75" customHeight="1" x14ac:dyDescent="0.2">
      <c r="A54" s="104"/>
      <c r="B54" s="91" t="s">
        <v>57</v>
      </c>
      <c r="C54" s="92"/>
      <c r="D54" s="92"/>
      <c r="E54" s="93"/>
      <c r="F54" s="32">
        <v>36</v>
      </c>
      <c r="G54" s="116"/>
      <c r="H54" s="75"/>
      <c r="I54" s="86"/>
      <c r="L54" s="27" t="s">
        <v>132</v>
      </c>
      <c r="M54" s="28">
        <v>10.55</v>
      </c>
      <c r="N54" s="76"/>
      <c r="O54" s="73" t="e">
        <f>H52/P52</f>
        <v>#DIV/0!</v>
      </c>
      <c r="P54" s="74">
        <f t="shared" ref="P54:P57" si="0">IFERROR(O54,0)</f>
        <v>0</v>
      </c>
      <c r="Q54" s="77">
        <f t="shared" ref="Q54:Q57" si="1">IF(P54&gt;=0.7,0.7,P54)</f>
        <v>0</v>
      </c>
      <c r="R54" s="80">
        <f>IF(Q53+Q54&lt;=0.7,Q54,Q54-(Q53+Q54-0.7))</f>
        <v>0</v>
      </c>
    </row>
    <row r="55" spans="1:19" ht="54.75" customHeight="1" x14ac:dyDescent="0.2">
      <c r="A55" s="105"/>
      <c r="B55" s="94" t="s">
        <v>58</v>
      </c>
      <c r="C55" s="95"/>
      <c r="D55" s="95"/>
      <c r="E55" s="96"/>
      <c r="F55" s="33">
        <v>20</v>
      </c>
      <c r="G55" s="117"/>
      <c r="H55" s="75"/>
      <c r="I55" s="87"/>
      <c r="L55" s="27" t="s">
        <v>133</v>
      </c>
      <c r="M55" s="28">
        <v>16.46</v>
      </c>
      <c r="N55" s="76"/>
      <c r="O55" s="73" t="e">
        <f>H53/P52</f>
        <v>#DIV/0!</v>
      </c>
      <c r="P55" s="74">
        <f t="shared" si="0"/>
        <v>0</v>
      </c>
      <c r="Q55" s="77">
        <f t="shared" si="1"/>
        <v>0</v>
      </c>
      <c r="R55" s="77">
        <f>IF(R53+R54+Q55&lt;=0.7,Q55,0.7-R53-R54)</f>
        <v>0</v>
      </c>
    </row>
    <row r="56" spans="1:19" x14ac:dyDescent="0.2">
      <c r="A56" s="114" t="s">
        <v>8</v>
      </c>
      <c r="B56" s="114"/>
      <c r="C56" s="114"/>
      <c r="D56" s="114"/>
      <c r="E56" s="114"/>
      <c r="F56" s="114"/>
      <c r="G56" s="114"/>
      <c r="H56" s="25" t="s">
        <v>31</v>
      </c>
      <c r="I56" s="42">
        <f>SUM(I12:I55)</f>
        <v>3</v>
      </c>
      <c r="L56" s="27" t="s">
        <v>134</v>
      </c>
      <c r="M56" s="28">
        <v>13.34</v>
      </c>
      <c r="N56" s="76"/>
      <c r="O56" s="73" t="e">
        <f>H54/P52</f>
        <v>#DIV/0!</v>
      </c>
      <c r="P56" s="74">
        <f t="shared" si="0"/>
        <v>0</v>
      </c>
      <c r="Q56" s="77">
        <f t="shared" si="1"/>
        <v>0</v>
      </c>
      <c r="R56" s="77">
        <f>IF(R53+R54+R55+Q56&lt;=0.7,Q56,0.7-R53-R54-R55)</f>
        <v>0</v>
      </c>
    </row>
    <row r="57" spans="1:19" x14ac:dyDescent="0.2">
      <c r="L57" s="27" t="s">
        <v>135</v>
      </c>
      <c r="M57" s="28">
        <v>19.600000000000001</v>
      </c>
      <c r="N57" s="76"/>
      <c r="O57" s="73" t="e">
        <f>H55/P52</f>
        <v>#DIV/0!</v>
      </c>
      <c r="P57" s="74">
        <f t="shared" si="0"/>
        <v>0</v>
      </c>
      <c r="Q57" s="77">
        <f t="shared" si="1"/>
        <v>0</v>
      </c>
      <c r="R57" s="77">
        <f>IF(R53+R54+R55+Q56&lt;=0.7,Q56,0.7-R53-R54-R55)</f>
        <v>0</v>
      </c>
    </row>
    <row r="58" spans="1:19" x14ac:dyDescent="0.2">
      <c r="L58" s="27" t="s">
        <v>136</v>
      </c>
      <c r="M58" s="28">
        <v>16.489999999999998</v>
      </c>
      <c r="N58" s="76"/>
      <c r="O58" s="71"/>
      <c r="P58" s="71"/>
      <c r="Q58" s="76"/>
      <c r="R58" s="76"/>
    </row>
    <row r="59" spans="1:19" x14ac:dyDescent="0.2">
      <c r="B59" s="83" t="s">
        <v>169</v>
      </c>
      <c r="L59" s="27" t="s">
        <v>137</v>
      </c>
      <c r="M59" s="28">
        <v>25.59</v>
      </c>
      <c r="N59" s="76"/>
      <c r="O59" s="71"/>
      <c r="P59" s="71"/>
      <c r="Q59" s="76"/>
      <c r="R59" s="76"/>
    </row>
    <row r="60" spans="1:19" x14ac:dyDescent="0.2">
      <c r="L60" s="27" t="s">
        <v>138</v>
      </c>
      <c r="M60" s="28">
        <v>16.440000000000001</v>
      </c>
      <c r="N60" s="76"/>
      <c r="O60" s="76"/>
      <c r="P60" s="76"/>
      <c r="Q60" s="76"/>
      <c r="R60" s="76"/>
    </row>
    <row r="61" spans="1:19" x14ac:dyDescent="0.2">
      <c r="B61" s="137" t="str">
        <f>IF(C6="","nie sú zadané OV","")</f>
        <v>nie sú zadané OV</v>
      </c>
      <c r="C61" s="137"/>
      <c r="D61" s="137"/>
      <c r="E61" s="137"/>
      <c r="F61" s="137"/>
      <c r="L61" s="27" t="s">
        <v>139</v>
      </c>
      <c r="M61" s="28">
        <v>19.95</v>
      </c>
      <c r="N61" s="76"/>
      <c r="O61" s="76"/>
      <c r="P61" s="76"/>
      <c r="Q61" s="76"/>
      <c r="R61" s="76"/>
    </row>
    <row r="62" spans="1:19" x14ac:dyDescent="0.2">
      <c r="B62" s="138" t="str">
        <f>IF(C7="","nie sú zadané VDJ","")</f>
        <v>nie sú zadané VDJ</v>
      </c>
      <c r="C62" s="138"/>
      <c r="D62" s="138"/>
      <c r="E62" s="138"/>
      <c r="F62" s="138"/>
      <c r="L62" s="27" t="s">
        <v>140</v>
      </c>
      <c r="M62" s="28">
        <v>11.01</v>
      </c>
      <c r="N62" s="76"/>
      <c r="O62" s="76"/>
      <c r="P62" s="76"/>
      <c r="Q62" s="76"/>
      <c r="R62" s="76"/>
    </row>
    <row r="63" spans="1:19" x14ac:dyDescent="0.2">
      <c r="B63" s="137" t="str">
        <f>IF(H13=0,"nie je vyplnený hárok nezamestanosť","")</f>
        <v>nie je vyplnený hárok nezamestanosť</v>
      </c>
      <c r="C63" s="137"/>
      <c r="D63" s="137"/>
      <c r="E63" s="137"/>
      <c r="F63" s="137"/>
      <c r="L63" s="27" t="s">
        <v>141</v>
      </c>
      <c r="M63" s="28">
        <v>14.84</v>
      </c>
      <c r="N63" s="76"/>
      <c r="O63" s="76"/>
      <c r="P63" s="76"/>
      <c r="Q63" s="76"/>
      <c r="R63" s="76"/>
    </row>
    <row r="64" spans="1:19" x14ac:dyDescent="0.2">
      <c r="B64" s="137" t="str">
        <f>IF(C9="","nie je vyplnený požadovaný NFP","")</f>
        <v>nie je vyplnený požadovaný NFP</v>
      </c>
      <c r="C64" s="137"/>
      <c r="D64" s="137"/>
      <c r="E64" s="137"/>
      <c r="F64" s="137"/>
      <c r="L64" s="27" t="s">
        <v>142</v>
      </c>
      <c r="M64" s="28">
        <v>21.86</v>
      </c>
      <c r="N64" s="76"/>
      <c r="O64" s="76"/>
      <c r="P64" s="76"/>
      <c r="Q64" s="76"/>
      <c r="R64" s="76"/>
    </row>
    <row r="65" spans="2:18" x14ac:dyDescent="0.2">
      <c r="B65" s="138" t="str">
        <f>IF(OR(P47=0,P47=""),"zadajte miesto realizácie","")</f>
        <v>zadajte miesto realizácie</v>
      </c>
      <c r="C65" s="138"/>
      <c r="D65" s="138"/>
      <c r="E65" s="138"/>
      <c r="F65" s="138"/>
      <c r="L65" s="27" t="s">
        <v>143</v>
      </c>
      <c r="M65" s="28">
        <v>19.059999999999999</v>
      </c>
      <c r="N65" s="76"/>
      <c r="O65" s="76"/>
      <c r="P65" s="76"/>
      <c r="Q65" s="76"/>
      <c r="R65" s="76"/>
    </row>
    <row r="66" spans="2:18" x14ac:dyDescent="0.2">
      <c r="B66" s="137" t="str">
        <f>IF(I15="","označte jednu možnosť v bodovacom kritériu č. 2","")</f>
        <v>označte jednu možnosť v bodovacom kritériu č. 2</v>
      </c>
      <c r="C66" s="137"/>
      <c r="D66" s="137"/>
      <c r="E66" s="137"/>
      <c r="F66" s="137"/>
      <c r="L66" s="27" t="s">
        <v>144</v>
      </c>
      <c r="M66" s="28">
        <v>13.1</v>
      </c>
      <c r="N66" s="76"/>
      <c r="O66" s="76"/>
      <c r="P66" s="76"/>
      <c r="Q66" s="76"/>
      <c r="R66" s="76"/>
    </row>
    <row r="67" spans="2:18" x14ac:dyDescent="0.2">
      <c r="B67" s="137" t="str">
        <f>IF(I16="","označte jednu možnosť v bodovacom kritériu č. 3","")</f>
        <v>označte jednu možnosť v bodovacom kritériu č. 3</v>
      </c>
      <c r="C67" s="137"/>
      <c r="D67" s="137"/>
      <c r="E67" s="137"/>
      <c r="F67" s="137"/>
      <c r="L67" s="27" t="s">
        <v>145</v>
      </c>
      <c r="M67" s="28">
        <v>17.399999999999999</v>
      </c>
      <c r="N67" s="76"/>
      <c r="O67" s="76"/>
      <c r="P67" s="76"/>
      <c r="Q67" s="76"/>
      <c r="R67" s="76"/>
    </row>
    <row r="68" spans="2:18" x14ac:dyDescent="0.2">
      <c r="B68" s="137" t="str">
        <f>IF(I20="","označte jednu možnosť v bodovacom kritériu č. 4","")</f>
        <v>označte jednu možnosť v bodovacom kritériu č. 4</v>
      </c>
      <c r="C68" s="137"/>
      <c r="D68" s="137"/>
      <c r="E68" s="137"/>
      <c r="F68" s="137"/>
      <c r="L68" s="27" t="s">
        <v>146</v>
      </c>
      <c r="M68" s="28">
        <v>20.05</v>
      </c>
      <c r="N68" s="76"/>
      <c r="O68" s="76"/>
      <c r="P68" s="76"/>
      <c r="Q68" s="76"/>
      <c r="R68" s="76"/>
    </row>
    <row r="69" spans="2:18" x14ac:dyDescent="0.2">
      <c r="B69" s="137" t="str">
        <f>IF(I21="","označte jednu možnosť v bodovacom kritériu č. 5","")</f>
        <v>označte jednu možnosť v bodovacom kritériu č. 5</v>
      </c>
      <c r="C69" s="137"/>
      <c r="D69" s="137"/>
      <c r="E69" s="137"/>
      <c r="F69" s="137"/>
      <c r="L69" s="27" t="s">
        <v>147</v>
      </c>
      <c r="M69" s="28">
        <v>21.25</v>
      </c>
      <c r="N69" s="76"/>
      <c r="O69" s="76"/>
      <c r="P69" s="76"/>
      <c r="Q69" s="76"/>
      <c r="R69" s="76"/>
    </row>
    <row r="70" spans="2:18" x14ac:dyDescent="0.2">
      <c r="B70" s="137" t="str">
        <f>IF(OR(P28="",P28=0),"označte jednu možnosť v bodovacom kritériu č. 6","")</f>
        <v>označte jednu možnosť v bodovacom kritériu č. 6</v>
      </c>
      <c r="C70" s="137"/>
      <c r="D70" s="137"/>
      <c r="E70" s="137"/>
      <c r="F70" s="137"/>
      <c r="L70" s="27" t="s">
        <v>148</v>
      </c>
      <c r="M70" s="28">
        <v>17.91</v>
      </c>
      <c r="N70" s="76"/>
      <c r="O70" s="76"/>
      <c r="P70" s="76"/>
      <c r="Q70" s="76"/>
      <c r="R70" s="76"/>
    </row>
    <row r="71" spans="2:18" x14ac:dyDescent="0.2">
      <c r="B71" s="137" t="str">
        <f>IF(OR(P48="",P48=0),"označte jednu možnosť v bodovacom kritériu č. 7","")</f>
        <v>označte jednu možnosť v bodovacom kritériu č. 7</v>
      </c>
      <c r="C71" s="137"/>
      <c r="D71" s="137"/>
      <c r="E71" s="137"/>
      <c r="F71" s="137"/>
      <c r="L71" s="27" t="s">
        <v>149</v>
      </c>
      <c r="M71" s="28">
        <v>9.81</v>
      </c>
      <c r="N71" s="76"/>
      <c r="O71" s="76"/>
      <c r="P71" s="76"/>
      <c r="Q71" s="76"/>
      <c r="R71" s="76"/>
    </row>
    <row r="72" spans="2:18" x14ac:dyDescent="0.2">
      <c r="B72" s="137" t="str">
        <f>IF(OR(H51="",H52="",H53="",H54="",H55=""),"zadajte Výdavky v bodovacom kritériu č. 8 - aj nulové hodnoty","")</f>
        <v>zadajte Výdavky v bodovacom kritériu č. 8 - aj nulové hodnoty</v>
      </c>
      <c r="C72" s="137"/>
      <c r="D72" s="137"/>
      <c r="E72" s="137"/>
      <c r="F72" s="137"/>
      <c r="L72" s="27" t="s">
        <v>150</v>
      </c>
      <c r="M72" s="28">
        <v>9.39</v>
      </c>
      <c r="N72" s="76"/>
      <c r="O72" s="76"/>
      <c r="P72" s="76"/>
      <c r="Q72" s="76"/>
      <c r="R72" s="76"/>
    </row>
    <row r="73" spans="2:18" x14ac:dyDescent="0.2">
      <c r="L73" s="27" t="s">
        <v>151</v>
      </c>
      <c r="M73" s="28">
        <v>8.56</v>
      </c>
      <c r="N73" s="76"/>
      <c r="O73" s="76"/>
      <c r="P73" s="76"/>
      <c r="Q73" s="76"/>
      <c r="R73" s="76"/>
    </row>
    <row r="74" spans="2:18" x14ac:dyDescent="0.2">
      <c r="L74" s="27" t="s">
        <v>152</v>
      </c>
      <c r="M74" s="28">
        <v>9.3699999999999992</v>
      </c>
      <c r="N74" s="76"/>
      <c r="O74" s="76"/>
      <c r="P74" s="76"/>
      <c r="Q74" s="76"/>
      <c r="R74" s="76"/>
    </row>
    <row r="75" spans="2:18" x14ac:dyDescent="0.2">
      <c r="L75" s="27" t="s">
        <v>153</v>
      </c>
      <c r="M75" s="28">
        <v>19.2</v>
      </c>
      <c r="N75" s="76"/>
      <c r="O75" s="76"/>
      <c r="P75" s="76"/>
      <c r="Q75" s="76"/>
      <c r="R75" s="76"/>
    </row>
    <row r="76" spans="2:18" x14ac:dyDescent="0.2">
      <c r="L76" s="27" t="s">
        <v>154</v>
      </c>
      <c r="M76" s="28">
        <v>16.78</v>
      </c>
      <c r="N76" s="76"/>
      <c r="O76" s="76"/>
      <c r="P76" s="76"/>
      <c r="Q76" s="76"/>
      <c r="R76" s="76"/>
    </row>
    <row r="77" spans="2:18" x14ac:dyDescent="0.2">
      <c r="L77" s="27" t="s">
        <v>155</v>
      </c>
      <c r="M77" s="28">
        <v>24.27</v>
      </c>
      <c r="N77" s="76"/>
      <c r="O77" s="76"/>
      <c r="P77" s="76"/>
      <c r="Q77" s="76"/>
      <c r="R77" s="76"/>
    </row>
    <row r="78" spans="2:18" x14ac:dyDescent="0.2">
      <c r="L78" s="27" t="s">
        <v>156</v>
      </c>
      <c r="M78" s="28">
        <v>20.91</v>
      </c>
      <c r="N78" s="76"/>
      <c r="O78" s="76"/>
      <c r="P78" s="76"/>
      <c r="Q78" s="76"/>
      <c r="R78" s="76"/>
    </row>
    <row r="79" spans="2:18" x14ac:dyDescent="0.2">
      <c r="L79" s="27" t="s">
        <v>157</v>
      </c>
      <c r="M79" s="28">
        <v>15.12</v>
      </c>
      <c r="N79" s="76"/>
      <c r="O79" s="76"/>
      <c r="P79" s="76"/>
      <c r="Q79" s="76"/>
      <c r="R79" s="76"/>
    </row>
    <row r="80" spans="2:18" x14ac:dyDescent="0.2">
      <c r="L80" s="27" t="s">
        <v>158</v>
      </c>
      <c r="M80" s="28">
        <v>20.010000000000002</v>
      </c>
      <c r="N80" s="76"/>
      <c r="O80" s="76"/>
      <c r="P80" s="76"/>
      <c r="Q80" s="76"/>
      <c r="R80" s="76"/>
    </row>
  </sheetData>
  <sheetProtection algorithmName="SHA-512" hashValue="SNvXUsouNNGhbLOY+jJuRSgLrRBWgMFX56fiYMAwe3RIBAjtr+08J+RPGmaS02gQuZZ3E0JSExkmiGhXXKODwg==" saltValue="k+eC/CBIoyVwGMEs23guGQ==" spinCount="100000" sheet="1" objects="1" scenarios="1"/>
  <mergeCells count="81">
    <mergeCell ref="B71:F71"/>
    <mergeCell ref="B72:F72"/>
    <mergeCell ref="B66:F66"/>
    <mergeCell ref="B67:F67"/>
    <mergeCell ref="B68:F68"/>
    <mergeCell ref="B69:F69"/>
    <mergeCell ref="B70:F70"/>
    <mergeCell ref="B61:F61"/>
    <mergeCell ref="B62:F62"/>
    <mergeCell ref="B63:F63"/>
    <mergeCell ref="B64:F64"/>
    <mergeCell ref="B65:F65"/>
    <mergeCell ref="C9:D9"/>
    <mergeCell ref="B19:E19"/>
    <mergeCell ref="A16:A19"/>
    <mergeCell ref="G16:G19"/>
    <mergeCell ref="I16:I19"/>
    <mergeCell ref="A12:A14"/>
    <mergeCell ref="B12:E12"/>
    <mergeCell ref="G12:G14"/>
    <mergeCell ref="I12:I14"/>
    <mergeCell ref="B13:E13"/>
    <mergeCell ref="H13:H14"/>
    <mergeCell ref="B14:E14"/>
    <mergeCell ref="B15:E15"/>
    <mergeCell ref="B16:E16"/>
    <mergeCell ref="B17:E17"/>
    <mergeCell ref="B18:E18"/>
    <mergeCell ref="C4:I4"/>
    <mergeCell ref="C5:D5"/>
    <mergeCell ref="C6:D6"/>
    <mergeCell ref="C7:D7"/>
    <mergeCell ref="C8:D8"/>
    <mergeCell ref="B21:E21"/>
    <mergeCell ref="B55:E55"/>
    <mergeCell ref="A56:G56"/>
    <mergeCell ref="A50:A55"/>
    <mergeCell ref="G50:G55"/>
    <mergeCell ref="B48:E48"/>
    <mergeCell ref="B49:E49"/>
    <mergeCell ref="B50:E50"/>
    <mergeCell ref="B51:E51"/>
    <mergeCell ref="B52:E52"/>
    <mergeCell ref="B53:E53"/>
    <mergeCell ref="B54:E54"/>
    <mergeCell ref="G43:G49"/>
    <mergeCell ref="B43:E43"/>
    <mergeCell ref="B44:E44"/>
    <mergeCell ref="B45:E45"/>
    <mergeCell ref="A43:A49"/>
    <mergeCell ref="A22:A42"/>
    <mergeCell ref="I43:I49"/>
    <mergeCell ref="H44:H49"/>
    <mergeCell ref="B32:E32"/>
    <mergeCell ref="B33:E33"/>
    <mergeCell ref="B27:E27"/>
    <mergeCell ref="B22:E22"/>
    <mergeCell ref="B23:E23"/>
    <mergeCell ref="B24:E24"/>
    <mergeCell ref="B25:E25"/>
    <mergeCell ref="B26:E26"/>
    <mergeCell ref="B28:E28"/>
    <mergeCell ref="B29:E29"/>
    <mergeCell ref="B30:E30"/>
    <mergeCell ref="B31:E31"/>
    <mergeCell ref="I50:I55"/>
    <mergeCell ref="B20:E20"/>
    <mergeCell ref="B47:E47"/>
    <mergeCell ref="B40:E40"/>
    <mergeCell ref="B41:E41"/>
    <mergeCell ref="B42:E42"/>
    <mergeCell ref="B34:E34"/>
    <mergeCell ref="B35:E35"/>
    <mergeCell ref="B36:E36"/>
    <mergeCell ref="B37:E37"/>
    <mergeCell ref="B38:E38"/>
    <mergeCell ref="B39:E39"/>
    <mergeCell ref="B46:E46"/>
    <mergeCell ref="G22:G42"/>
    <mergeCell ref="H22:H42"/>
    <mergeCell ref="I22:I42"/>
  </mergeCells>
  <conditionalFormatting sqref="B61:F61">
    <cfRule type="cellIs" dxfId="13" priority="12" operator="equal">
      <formula>"nie sú zadané OV"</formula>
    </cfRule>
  </conditionalFormatting>
  <conditionalFormatting sqref="B62:F62">
    <cfRule type="cellIs" dxfId="12" priority="11" operator="equal">
      <formula>"nie sú zadané VDJ"</formula>
    </cfRule>
  </conditionalFormatting>
  <conditionalFormatting sqref="B63:F63">
    <cfRule type="cellIs" dxfId="11" priority="10" operator="equal">
      <formula>"nie je vyplnený hárok nezamestanosť"</formula>
    </cfRule>
  </conditionalFormatting>
  <conditionalFormatting sqref="B64:F64">
    <cfRule type="cellIs" dxfId="10" priority="9" operator="equal">
      <formula>"nie je vyplnený požadovaný NFP"</formula>
    </cfRule>
  </conditionalFormatting>
  <conditionalFormatting sqref="B65:F65">
    <cfRule type="cellIs" dxfId="9" priority="8" operator="equal">
      <formula>"zadajte miesto realizácie"</formula>
    </cfRule>
  </conditionalFormatting>
  <conditionalFormatting sqref="B66:F66">
    <cfRule type="cellIs" dxfId="8" priority="7" operator="equal">
      <formula>"označte jednu možnosť v bodovacom kritériu č. 2"</formula>
    </cfRule>
  </conditionalFormatting>
  <conditionalFormatting sqref="B67:F67">
    <cfRule type="cellIs" dxfId="7" priority="6" operator="equal">
      <formula>"označte jednu možnosť v bodovacom kritériu č. 3"</formula>
    </cfRule>
  </conditionalFormatting>
  <conditionalFormatting sqref="B68:F68">
    <cfRule type="cellIs" dxfId="6" priority="5" operator="equal">
      <formula>"označte jednu možnosť v bodovacom kritériu č. 4"</formula>
    </cfRule>
  </conditionalFormatting>
  <conditionalFormatting sqref="B69:F69">
    <cfRule type="cellIs" dxfId="5" priority="4" operator="equal">
      <formula>"označte jednu možnosť v bodovacom kritériu č. 5"</formula>
    </cfRule>
  </conditionalFormatting>
  <conditionalFormatting sqref="B70:F70">
    <cfRule type="cellIs" dxfId="4" priority="3" operator="equal">
      <formula>"označte jednu možnosť v bodovacom kritériu č. 6"</formula>
    </cfRule>
  </conditionalFormatting>
  <conditionalFormatting sqref="B71:F71">
    <cfRule type="cellIs" dxfId="3" priority="2" operator="equal">
      <formula>"označte jednu možnosť v bodovacom kritériu č. 7"</formula>
    </cfRule>
  </conditionalFormatting>
  <conditionalFormatting sqref="B72:F72">
    <cfRule type="cellIs" dxfId="2" priority="1" operator="equal">
      <formula>"zadajte Výdavky v bodovacom kritériu č. 8 - aj nulové hodnoty"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orientation="landscape" vertic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7</xdr:col>
                    <xdr:colOff>361950</xdr:colOff>
                    <xdr:row>14</xdr:row>
                    <xdr:rowOff>333375</xdr:rowOff>
                  </from>
                  <to>
                    <xdr:col>7</xdr:col>
                    <xdr:colOff>1085850</xdr:colOff>
                    <xdr:row>14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7</xdr:col>
                    <xdr:colOff>352425</xdr:colOff>
                    <xdr:row>14</xdr:row>
                    <xdr:rowOff>828675</xdr:rowOff>
                  </from>
                  <to>
                    <xdr:col>7</xdr:col>
                    <xdr:colOff>1076325</xdr:colOff>
                    <xdr:row>14</xdr:row>
                    <xdr:rowOff>1076325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autoFill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7</xdr:col>
                    <xdr:colOff>342900</xdr:colOff>
                    <xdr:row>15</xdr:row>
                    <xdr:rowOff>161925</xdr:rowOff>
                  </from>
                  <to>
                    <xdr:col>7</xdr:col>
                    <xdr:colOff>1066800</xdr:colOff>
                    <xdr:row>15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7</xdr:col>
                    <xdr:colOff>342900</xdr:colOff>
                    <xdr:row>16</xdr:row>
                    <xdr:rowOff>66675</xdr:rowOff>
                  </from>
                  <to>
                    <xdr:col>7</xdr:col>
                    <xdr:colOff>1066800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Option Button 7">
              <controlPr defaultSize="0" autoFill="0" autoLine="0" autoPict="0">
                <anchor moveWithCells="1">
                  <from>
                    <xdr:col>7</xdr:col>
                    <xdr:colOff>333375</xdr:colOff>
                    <xdr:row>17</xdr:row>
                    <xdr:rowOff>76200</xdr:rowOff>
                  </from>
                  <to>
                    <xdr:col>7</xdr:col>
                    <xdr:colOff>1057275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Option Button 9">
              <controlPr defaultSize="0" autoFill="0" autoLine="0" autoPict="0">
                <anchor moveWithCells="1">
                  <from>
                    <xdr:col>7</xdr:col>
                    <xdr:colOff>323850</xdr:colOff>
                    <xdr:row>18</xdr:row>
                    <xdr:rowOff>47625</xdr:rowOff>
                  </from>
                  <to>
                    <xdr:col>7</xdr:col>
                    <xdr:colOff>1047750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Group Box 10">
              <controlPr defaultSize="0" autoFill="0" autoPict="0">
                <anchor moveWithCells="1">
                  <from>
                    <xdr:col>7</xdr:col>
                    <xdr:colOff>0</xdr:colOff>
                    <xdr:row>19</xdr:row>
                    <xdr:rowOff>0</xdr:rowOff>
                  </from>
                  <to>
                    <xdr:col>8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Option Button 11">
              <controlPr defaultSize="0" autoFill="0" autoLine="0" autoPict="0">
                <anchor moveWithCells="1">
                  <from>
                    <xdr:col>7</xdr:col>
                    <xdr:colOff>314325</xdr:colOff>
                    <xdr:row>19</xdr:row>
                    <xdr:rowOff>76200</xdr:rowOff>
                  </from>
                  <to>
                    <xdr:col>7</xdr:col>
                    <xdr:colOff>1000125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Option Button 12">
              <controlPr defaultSize="0" autoFill="0" autoLine="0" autoPict="0">
                <anchor moveWithCells="1">
                  <from>
                    <xdr:col>7</xdr:col>
                    <xdr:colOff>314325</xdr:colOff>
                    <xdr:row>19</xdr:row>
                    <xdr:rowOff>381000</xdr:rowOff>
                  </from>
                  <to>
                    <xdr:col>7</xdr:col>
                    <xdr:colOff>1076325</xdr:colOff>
                    <xdr:row>19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Group Box 13">
              <controlPr defaultSize="0" autoFill="0" autoPict="0">
                <anchor moveWithCells="1">
                  <from>
                    <xdr:col>7</xdr:col>
                    <xdr:colOff>0</xdr:colOff>
                    <xdr:row>20</xdr:row>
                    <xdr:rowOff>0</xdr:rowOff>
                  </from>
                  <to>
                    <xdr:col>8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Option Button 14">
              <controlPr defaultSize="0" autoFill="0" autoLine="0" autoPict="0">
                <anchor moveWithCells="1">
                  <from>
                    <xdr:col>7</xdr:col>
                    <xdr:colOff>314325</xdr:colOff>
                    <xdr:row>20</xdr:row>
                    <xdr:rowOff>333375</xdr:rowOff>
                  </from>
                  <to>
                    <xdr:col>7</xdr:col>
                    <xdr:colOff>1047750</xdr:colOff>
                    <xdr:row>20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Option Button 15">
              <controlPr defaultSize="0" autoFill="0" autoLine="0" autoPict="0">
                <anchor moveWithCells="1">
                  <from>
                    <xdr:col>7</xdr:col>
                    <xdr:colOff>314325</xdr:colOff>
                    <xdr:row>20</xdr:row>
                    <xdr:rowOff>857250</xdr:rowOff>
                  </from>
                  <to>
                    <xdr:col>7</xdr:col>
                    <xdr:colOff>1076325</xdr:colOff>
                    <xdr:row>20</xdr:row>
                    <xdr:rowOff>1085850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Group Box 16">
              <controlPr defaultSize="0" autoFill="0" autoPict="0">
                <anchor moveWithCells="1">
                  <from>
                    <xdr:col>7</xdr:col>
                    <xdr:colOff>0</xdr:colOff>
                    <xdr:row>21</xdr:row>
                    <xdr:rowOff>0</xdr:rowOff>
                  </from>
                  <to>
                    <xdr:col>8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Option Button 17">
              <controlPr defaultSize="0" autoFill="0" autoLine="0" autoPict="0">
                <anchor moveWithCells="1">
                  <from>
                    <xdr:col>7</xdr:col>
                    <xdr:colOff>190500</xdr:colOff>
                    <xdr:row>23</xdr:row>
                    <xdr:rowOff>104775</xdr:rowOff>
                  </from>
                  <to>
                    <xdr:col>7</xdr:col>
                    <xdr:colOff>1085850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Option Button 18">
              <controlPr defaultSize="0" autoFill="0" autoLine="0" autoPict="0">
                <anchor moveWithCells="1">
                  <from>
                    <xdr:col>7</xdr:col>
                    <xdr:colOff>180975</xdr:colOff>
                    <xdr:row>28</xdr:row>
                    <xdr:rowOff>0</xdr:rowOff>
                  </from>
                  <to>
                    <xdr:col>7</xdr:col>
                    <xdr:colOff>1076325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Option Button 19">
              <controlPr defaultSize="0" autoFill="0" autoLine="0" autoPict="0">
                <anchor moveWithCells="1">
                  <from>
                    <xdr:col>7</xdr:col>
                    <xdr:colOff>180975</xdr:colOff>
                    <xdr:row>32</xdr:row>
                    <xdr:rowOff>247650</xdr:rowOff>
                  </from>
                  <to>
                    <xdr:col>7</xdr:col>
                    <xdr:colOff>1076325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Option Button 20">
              <controlPr defaultSize="0" autoFill="0" autoLine="0" autoPict="0">
                <anchor moveWithCells="1">
                  <from>
                    <xdr:col>7</xdr:col>
                    <xdr:colOff>171450</xdr:colOff>
                    <xdr:row>37</xdr:row>
                    <xdr:rowOff>66675</xdr:rowOff>
                  </from>
                  <to>
                    <xdr:col>7</xdr:col>
                    <xdr:colOff>1066800</xdr:colOff>
                    <xdr:row>37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3" name="Group Box 22">
              <controlPr defaultSize="0" autoFill="0" autoPict="0">
                <anchor moveWithCells="1">
                  <from>
                    <xdr:col>7</xdr:col>
                    <xdr:colOff>0</xdr:colOff>
                    <xdr:row>43</xdr:row>
                    <xdr:rowOff>0</xdr:rowOff>
                  </from>
                  <to>
                    <xdr:col>8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Option Button 23">
              <controlPr defaultSize="0" autoFill="0" autoLine="0" autoPict="0">
                <anchor moveWithCells="1">
                  <from>
                    <xdr:col>7</xdr:col>
                    <xdr:colOff>323850</xdr:colOff>
                    <xdr:row>44</xdr:row>
                    <xdr:rowOff>104775</xdr:rowOff>
                  </from>
                  <to>
                    <xdr:col>7</xdr:col>
                    <xdr:colOff>1047750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5" name="Option Button 24">
              <controlPr defaultSize="0" autoFill="0" autoLine="0" autoPict="0">
                <anchor moveWithCells="1">
                  <from>
                    <xdr:col>7</xdr:col>
                    <xdr:colOff>314325</xdr:colOff>
                    <xdr:row>46</xdr:row>
                    <xdr:rowOff>228600</xdr:rowOff>
                  </from>
                  <to>
                    <xdr:col>7</xdr:col>
                    <xdr:colOff>1038225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Group Box 25">
              <controlPr defaultSize="0" autoFill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7" name="Option Button 2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8" name="Option Button 28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238125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B11" sqref="B11:B12"/>
    </sheetView>
  </sheetViews>
  <sheetFormatPr defaultRowHeight="15" x14ac:dyDescent="0.25"/>
  <cols>
    <col min="1" max="1" width="10" style="50" customWidth="1"/>
    <col min="2" max="2" width="31.5703125" style="50" customWidth="1"/>
    <col min="3" max="3" width="9.140625" style="50" hidden="1" customWidth="1"/>
    <col min="4" max="4" width="12.5703125" style="50" hidden="1" customWidth="1"/>
    <col min="5" max="5" width="12.5703125" style="50" bestFit="1" customWidth="1"/>
    <col min="6" max="6" width="14.7109375" style="50" hidden="1" customWidth="1"/>
    <col min="7" max="7" width="5.28515625" style="50" hidden="1" customWidth="1"/>
    <col min="8" max="8" width="23.28515625" style="50" customWidth="1"/>
    <col min="9" max="9" width="22.28515625" style="50" customWidth="1"/>
    <col min="10" max="16384" width="9.140625" style="50"/>
  </cols>
  <sheetData>
    <row r="1" spans="1:9" x14ac:dyDescent="0.25">
      <c r="A1" s="49" t="s">
        <v>70</v>
      </c>
    </row>
    <row r="2" spans="1:9" x14ac:dyDescent="0.25">
      <c r="A2" s="51" t="s">
        <v>71</v>
      </c>
    </row>
    <row r="4" spans="1:9" x14ac:dyDescent="0.25">
      <c r="A4" s="52" t="s">
        <v>9</v>
      </c>
      <c r="B4" s="139"/>
      <c r="C4" s="139"/>
      <c r="D4" s="139"/>
      <c r="E4" s="139"/>
      <c r="F4" s="139"/>
      <c r="G4" s="139"/>
      <c r="H4" s="139"/>
      <c r="I4" s="139"/>
    </row>
    <row r="5" spans="1:9" x14ac:dyDescent="0.25">
      <c r="A5" s="52" t="s">
        <v>10</v>
      </c>
      <c r="B5" s="139"/>
      <c r="C5" s="139"/>
      <c r="D5" s="139"/>
      <c r="E5" s="139"/>
      <c r="F5" s="139"/>
      <c r="G5" s="139"/>
      <c r="H5" s="139"/>
      <c r="I5" s="139"/>
    </row>
    <row r="8" spans="1:9" x14ac:dyDescent="0.25">
      <c r="A8" s="53" t="s">
        <v>72</v>
      </c>
    </row>
    <row r="9" spans="1:9" x14ac:dyDescent="0.25">
      <c r="C9" s="54" t="s">
        <v>73</v>
      </c>
      <c r="D9" s="54" t="s">
        <v>73</v>
      </c>
      <c r="F9" s="54" t="s">
        <v>73</v>
      </c>
      <c r="G9" s="54" t="s">
        <v>73</v>
      </c>
    </row>
    <row r="10" spans="1:9" x14ac:dyDescent="0.25">
      <c r="A10" s="55" t="s">
        <v>0</v>
      </c>
      <c r="B10" s="55" t="s">
        <v>74</v>
      </c>
      <c r="C10" s="55" t="s">
        <v>75</v>
      </c>
      <c r="D10" s="55" t="s">
        <v>76</v>
      </c>
      <c r="E10" s="55" t="s">
        <v>76</v>
      </c>
      <c r="F10" s="56"/>
      <c r="G10" s="56"/>
      <c r="H10" s="55" t="s">
        <v>77</v>
      </c>
      <c r="I10" s="55" t="s">
        <v>78</v>
      </c>
    </row>
    <row r="11" spans="1:9" x14ac:dyDescent="0.25">
      <c r="A11" s="57">
        <v>1</v>
      </c>
      <c r="B11" s="64"/>
      <c r="C11" s="58"/>
      <c r="D11" s="56" t="e">
        <f>VLOOKUP(B11,'4.1.2'!$L$1:$M$80,2,0)</f>
        <v>#N/A</v>
      </c>
      <c r="E11" s="81">
        <f>IFERROR(D11,0)</f>
        <v>0</v>
      </c>
      <c r="F11" s="81" t="str">
        <f>IF(E11&gt;0,1,"")</f>
        <v/>
      </c>
      <c r="G11" s="81">
        <f>COUNTIF($B$11:$B$40,B11)</f>
        <v>0</v>
      </c>
      <c r="H11" s="82" t="str">
        <f>IF(G11&gt;1,"okres je zadaný viackrát","")</f>
        <v/>
      </c>
      <c r="I11" s="82" t="str">
        <f>IF(B11="","nezadané miesto realizácie"," ")</f>
        <v>nezadané miesto realizácie</v>
      </c>
    </row>
    <row r="12" spans="1:9" x14ac:dyDescent="0.25">
      <c r="A12" s="57">
        <v>2</v>
      </c>
      <c r="B12" s="64"/>
      <c r="C12" s="58"/>
      <c r="D12" s="56" t="e">
        <f>VLOOKUP(B12,'4.1.2'!$L$1:$M$80,2,0)</f>
        <v>#N/A</v>
      </c>
      <c r="E12" s="81">
        <f t="shared" ref="E12:E40" si="0">IFERROR(D12,0)</f>
        <v>0</v>
      </c>
      <c r="F12" s="81" t="str">
        <f t="shared" ref="F12:F40" si="1">IF(E12&gt;0,1," ")</f>
        <v xml:space="preserve"> </v>
      </c>
      <c r="G12" s="81">
        <f t="shared" ref="G12:G40" si="2">COUNTIF($B$11:$B$40,B12)</f>
        <v>0</v>
      </c>
      <c r="H12" s="82" t="str">
        <f t="shared" ref="H12:H40" si="3">IF(G12&gt;1,"okres je zadaný viackrát","")</f>
        <v/>
      </c>
      <c r="I12" s="82"/>
    </row>
    <row r="13" spans="1:9" x14ac:dyDescent="0.25">
      <c r="A13" s="57">
        <v>3</v>
      </c>
      <c r="B13" s="64"/>
      <c r="C13" s="58"/>
      <c r="D13" s="56" t="e">
        <f>VLOOKUP(B13,'4.1.2'!$L$1:$M$80,2,0)</f>
        <v>#N/A</v>
      </c>
      <c r="E13" s="81">
        <f t="shared" si="0"/>
        <v>0</v>
      </c>
      <c r="F13" s="81" t="str">
        <f t="shared" si="1"/>
        <v xml:space="preserve"> </v>
      </c>
      <c r="G13" s="81">
        <f t="shared" si="2"/>
        <v>0</v>
      </c>
      <c r="H13" s="82" t="str">
        <f t="shared" si="3"/>
        <v/>
      </c>
      <c r="I13" s="82"/>
    </row>
    <row r="14" spans="1:9" x14ac:dyDescent="0.25">
      <c r="A14" s="57">
        <v>4</v>
      </c>
      <c r="B14" s="64"/>
      <c r="C14" s="58"/>
      <c r="D14" s="56" t="e">
        <f>VLOOKUP(B14,'4.1.2'!$L$1:$M$80,2,0)</f>
        <v>#N/A</v>
      </c>
      <c r="E14" s="81">
        <f t="shared" si="0"/>
        <v>0</v>
      </c>
      <c r="F14" s="81" t="str">
        <f t="shared" si="1"/>
        <v xml:space="preserve"> </v>
      </c>
      <c r="G14" s="81">
        <f t="shared" si="2"/>
        <v>0</v>
      </c>
      <c r="H14" s="82" t="str">
        <f t="shared" si="3"/>
        <v/>
      </c>
      <c r="I14" s="82"/>
    </row>
    <row r="15" spans="1:9" x14ac:dyDescent="0.25">
      <c r="A15" s="57">
        <v>5</v>
      </c>
      <c r="B15" s="64"/>
      <c r="C15" s="58"/>
      <c r="D15" s="56" t="e">
        <f>VLOOKUP(B15,'4.1.2'!$L$1:$M$80,2,0)</f>
        <v>#N/A</v>
      </c>
      <c r="E15" s="81">
        <f t="shared" si="0"/>
        <v>0</v>
      </c>
      <c r="F15" s="81" t="str">
        <f t="shared" si="1"/>
        <v xml:space="preserve"> </v>
      </c>
      <c r="G15" s="81">
        <f t="shared" si="2"/>
        <v>0</v>
      </c>
      <c r="H15" s="82" t="str">
        <f t="shared" si="3"/>
        <v/>
      </c>
      <c r="I15" s="82"/>
    </row>
    <row r="16" spans="1:9" x14ac:dyDescent="0.25">
      <c r="A16" s="57">
        <v>6</v>
      </c>
      <c r="B16" s="64"/>
      <c r="C16" s="58"/>
      <c r="D16" s="56" t="e">
        <f>VLOOKUP(B16,'4.1.2'!$L$1:$M$80,2,0)</f>
        <v>#N/A</v>
      </c>
      <c r="E16" s="81">
        <f t="shared" si="0"/>
        <v>0</v>
      </c>
      <c r="F16" s="81" t="str">
        <f t="shared" si="1"/>
        <v xml:space="preserve"> </v>
      </c>
      <c r="G16" s="81">
        <f t="shared" si="2"/>
        <v>0</v>
      </c>
      <c r="H16" s="82" t="str">
        <f t="shared" si="3"/>
        <v/>
      </c>
      <c r="I16" s="82"/>
    </row>
    <row r="17" spans="1:9" x14ac:dyDescent="0.25">
      <c r="A17" s="57">
        <v>7</v>
      </c>
      <c r="B17" s="64"/>
      <c r="C17" s="58"/>
      <c r="D17" s="56" t="e">
        <f>VLOOKUP(B17,'4.1.2'!$L$1:$M$80,2,0)</f>
        <v>#N/A</v>
      </c>
      <c r="E17" s="81">
        <f t="shared" si="0"/>
        <v>0</v>
      </c>
      <c r="F17" s="81" t="str">
        <f t="shared" si="1"/>
        <v xml:space="preserve"> </v>
      </c>
      <c r="G17" s="81">
        <f t="shared" si="2"/>
        <v>0</v>
      </c>
      <c r="H17" s="82" t="str">
        <f t="shared" si="3"/>
        <v/>
      </c>
      <c r="I17" s="82"/>
    </row>
    <row r="18" spans="1:9" x14ac:dyDescent="0.25">
      <c r="A18" s="57">
        <v>8</v>
      </c>
      <c r="B18" s="64"/>
      <c r="C18" s="58"/>
      <c r="D18" s="56" t="e">
        <f>VLOOKUP(B18,'4.1.2'!$L$1:$M$80,2,0)</f>
        <v>#N/A</v>
      </c>
      <c r="E18" s="81">
        <f t="shared" si="0"/>
        <v>0</v>
      </c>
      <c r="F18" s="81" t="str">
        <f t="shared" si="1"/>
        <v xml:space="preserve"> </v>
      </c>
      <c r="G18" s="81">
        <f t="shared" si="2"/>
        <v>0</v>
      </c>
      <c r="H18" s="82" t="str">
        <f t="shared" si="3"/>
        <v/>
      </c>
      <c r="I18" s="82"/>
    </row>
    <row r="19" spans="1:9" x14ac:dyDescent="0.25">
      <c r="A19" s="57">
        <v>9</v>
      </c>
      <c r="B19" s="64"/>
      <c r="C19" s="58"/>
      <c r="D19" s="56" t="e">
        <f>VLOOKUP(B19,'4.1.2'!$L$1:$M$80,2,0)</f>
        <v>#N/A</v>
      </c>
      <c r="E19" s="81">
        <f t="shared" si="0"/>
        <v>0</v>
      </c>
      <c r="F19" s="81" t="str">
        <f t="shared" si="1"/>
        <v xml:space="preserve"> </v>
      </c>
      <c r="G19" s="81">
        <f t="shared" si="2"/>
        <v>0</v>
      </c>
      <c r="H19" s="82" t="str">
        <f t="shared" si="3"/>
        <v/>
      </c>
      <c r="I19" s="82"/>
    </row>
    <row r="20" spans="1:9" x14ac:dyDescent="0.25">
      <c r="A20" s="57">
        <v>10</v>
      </c>
      <c r="B20" s="64"/>
      <c r="C20" s="58"/>
      <c r="D20" s="56" t="e">
        <f>VLOOKUP(B20,'4.1.2'!$L$1:$M$80,2,0)</f>
        <v>#N/A</v>
      </c>
      <c r="E20" s="81">
        <f t="shared" si="0"/>
        <v>0</v>
      </c>
      <c r="F20" s="81" t="str">
        <f t="shared" si="1"/>
        <v xml:space="preserve"> </v>
      </c>
      <c r="G20" s="81">
        <f t="shared" si="2"/>
        <v>0</v>
      </c>
      <c r="H20" s="82" t="str">
        <f t="shared" si="3"/>
        <v/>
      </c>
      <c r="I20" s="82"/>
    </row>
    <row r="21" spans="1:9" x14ac:dyDescent="0.25">
      <c r="A21" s="57">
        <v>11</v>
      </c>
      <c r="B21" s="64"/>
      <c r="C21" s="58"/>
      <c r="D21" s="56" t="e">
        <f>VLOOKUP(B21,'4.1.2'!$L$1:$M$80,2,0)</f>
        <v>#N/A</v>
      </c>
      <c r="E21" s="81">
        <f t="shared" si="0"/>
        <v>0</v>
      </c>
      <c r="F21" s="81" t="str">
        <f t="shared" si="1"/>
        <v xml:space="preserve"> </v>
      </c>
      <c r="G21" s="81">
        <f t="shared" si="2"/>
        <v>0</v>
      </c>
      <c r="H21" s="82" t="str">
        <f t="shared" si="3"/>
        <v/>
      </c>
      <c r="I21" s="82"/>
    </row>
    <row r="22" spans="1:9" x14ac:dyDescent="0.25">
      <c r="A22" s="57">
        <v>12</v>
      </c>
      <c r="B22" s="64"/>
      <c r="C22" s="58"/>
      <c r="D22" s="56" t="e">
        <f>VLOOKUP(B22,'4.1.2'!$L$1:$M$80,2,0)</f>
        <v>#N/A</v>
      </c>
      <c r="E22" s="81">
        <f t="shared" si="0"/>
        <v>0</v>
      </c>
      <c r="F22" s="81" t="str">
        <f t="shared" si="1"/>
        <v xml:space="preserve"> </v>
      </c>
      <c r="G22" s="81">
        <f t="shared" si="2"/>
        <v>0</v>
      </c>
      <c r="H22" s="82" t="str">
        <f t="shared" si="3"/>
        <v/>
      </c>
      <c r="I22" s="82"/>
    </row>
    <row r="23" spans="1:9" x14ac:dyDescent="0.25">
      <c r="A23" s="57">
        <v>13</v>
      </c>
      <c r="B23" s="64"/>
      <c r="C23" s="58"/>
      <c r="D23" s="56" t="e">
        <f>VLOOKUP(B23,'4.1.2'!$L$1:$M$80,2,0)</f>
        <v>#N/A</v>
      </c>
      <c r="E23" s="81">
        <f t="shared" si="0"/>
        <v>0</v>
      </c>
      <c r="F23" s="81" t="str">
        <f t="shared" si="1"/>
        <v xml:space="preserve"> </v>
      </c>
      <c r="G23" s="81">
        <f t="shared" si="2"/>
        <v>0</v>
      </c>
      <c r="H23" s="82" t="str">
        <f t="shared" si="3"/>
        <v/>
      </c>
      <c r="I23" s="82"/>
    </row>
    <row r="24" spans="1:9" x14ac:dyDescent="0.25">
      <c r="A24" s="57">
        <v>14</v>
      </c>
      <c r="B24" s="64"/>
      <c r="C24" s="58"/>
      <c r="D24" s="56" t="e">
        <f>VLOOKUP(B24,'4.1.2'!$L$1:$M$80,2,0)</f>
        <v>#N/A</v>
      </c>
      <c r="E24" s="81">
        <f t="shared" si="0"/>
        <v>0</v>
      </c>
      <c r="F24" s="81" t="str">
        <f t="shared" si="1"/>
        <v xml:space="preserve"> </v>
      </c>
      <c r="G24" s="81">
        <f t="shared" si="2"/>
        <v>0</v>
      </c>
      <c r="H24" s="82" t="str">
        <f t="shared" si="3"/>
        <v/>
      </c>
      <c r="I24" s="82"/>
    </row>
    <row r="25" spans="1:9" x14ac:dyDescent="0.25">
      <c r="A25" s="57">
        <v>15</v>
      </c>
      <c r="B25" s="64"/>
      <c r="C25" s="58"/>
      <c r="D25" s="56" t="e">
        <f>VLOOKUP(B25,'4.1.2'!$L$1:$M$80,2,0)</f>
        <v>#N/A</v>
      </c>
      <c r="E25" s="81">
        <f t="shared" si="0"/>
        <v>0</v>
      </c>
      <c r="F25" s="81" t="str">
        <f t="shared" si="1"/>
        <v xml:space="preserve"> </v>
      </c>
      <c r="G25" s="81">
        <f t="shared" si="2"/>
        <v>0</v>
      </c>
      <c r="H25" s="82" t="str">
        <f t="shared" si="3"/>
        <v/>
      </c>
      <c r="I25" s="82"/>
    </row>
    <row r="26" spans="1:9" x14ac:dyDescent="0.25">
      <c r="A26" s="57">
        <v>16</v>
      </c>
      <c r="B26" s="64"/>
      <c r="C26" s="58"/>
      <c r="D26" s="56" t="e">
        <f>VLOOKUP(B26,'4.1.2'!$L$1:$M$80,2,0)</f>
        <v>#N/A</v>
      </c>
      <c r="E26" s="81">
        <f t="shared" si="0"/>
        <v>0</v>
      </c>
      <c r="F26" s="81" t="str">
        <f t="shared" si="1"/>
        <v xml:space="preserve"> </v>
      </c>
      <c r="G26" s="81">
        <f t="shared" si="2"/>
        <v>0</v>
      </c>
      <c r="H26" s="82" t="str">
        <f t="shared" si="3"/>
        <v/>
      </c>
      <c r="I26" s="82"/>
    </row>
    <row r="27" spans="1:9" x14ac:dyDescent="0.25">
      <c r="A27" s="57">
        <v>17</v>
      </c>
      <c r="B27" s="64"/>
      <c r="C27" s="58"/>
      <c r="D27" s="56" t="e">
        <f>VLOOKUP(B27,'4.1.2'!$L$1:$M$80,2,0)</f>
        <v>#N/A</v>
      </c>
      <c r="E27" s="81">
        <f t="shared" si="0"/>
        <v>0</v>
      </c>
      <c r="F27" s="81" t="str">
        <f t="shared" si="1"/>
        <v xml:space="preserve"> </v>
      </c>
      <c r="G27" s="81">
        <f t="shared" si="2"/>
        <v>0</v>
      </c>
      <c r="H27" s="82" t="str">
        <f t="shared" si="3"/>
        <v/>
      </c>
      <c r="I27" s="82"/>
    </row>
    <row r="28" spans="1:9" x14ac:dyDescent="0.25">
      <c r="A28" s="57">
        <v>18</v>
      </c>
      <c r="B28" s="64"/>
      <c r="C28" s="58"/>
      <c r="D28" s="56" t="e">
        <f>VLOOKUP(B28,'4.1.2'!$L$1:$M$80,2,0)</f>
        <v>#N/A</v>
      </c>
      <c r="E28" s="81">
        <f t="shared" si="0"/>
        <v>0</v>
      </c>
      <c r="F28" s="81" t="str">
        <f t="shared" si="1"/>
        <v xml:space="preserve"> </v>
      </c>
      <c r="G28" s="81">
        <f t="shared" si="2"/>
        <v>0</v>
      </c>
      <c r="H28" s="82" t="str">
        <f t="shared" si="3"/>
        <v/>
      </c>
      <c r="I28" s="82"/>
    </row>
    <row r="29" spans="1:9" x14ac:dyDescent="0.25">
      <c r="A29" s="57">
        <v>19</v>
      </c>
      <c r="B29" s="64"/>
      <c r="C29" s="58"/>
      <c r="D29" s="56" t="e">
        <f>VLOOKUP(B29,'4.1.2'!$L$1:$M$80,2,0)</f>
        <v>#N/A</v>
      </c>
      <c r="E29" s="81">
        <f t="shared" si="0"/>
        <v>0</v>
      </c>
      <c r="F29" s="81" t="str">
        <f t="shared" si="1"/>
        <v xml:space="preserve"> </v>
      </c>
      <c r="G29" s="81">
        <f t="shared" si="2"/>
        <v>0</v>
      </c>
      <c r="H29" s="82" t="str">
        <f t="shared" si="3"/>
        <v/>
      </c>
      <c r="I29" s="82"/>
    </row>
    <row r="30" spans="1:9" x14ac:dyDescent="0.25">
      <c r="A30" s="57">
        <v>20</v>
      </c>
      <c r="B30" s="64"/>
      <c r="C30" s="58"/>
      <c r="D30" s="56" t="e">
        <f>VLOOKUP(B30,'4.1.2'!$L$1:$M$80,2,0)</f>
        <v>#N/A</v>
      </c>
      <c r="E30" s="81">
        <f t="shared" si="0"/>
        <v>0</v>
      </c>
      <c r="F30" s="81" t="str">
        <f t="shared" si="1"/>
        <v xml:space="preserve"> </v>
      </c>
      <c r="G30" s="81">
        <f t="shared" si="2"/>
        <v>0</v>
      </c>
      <c r="H30" s="82" t="str">
        <f t="shared" si="3"/>
        <v/>
      </c>
      <c r="I30" s="82"/>
    </row>
    <row r="31" spans="1:9" x14ac:dyDescent="0.25">
      <c r="A31" s="57">
        <v>21</v>
      </c>
      <c r="B31" s="64"/>
      <c r="C31" s="58"/>
      <c r="D31" s="56" t="e">
        <f>VLOOKUP(B31,'4.1.2'!$L$1:$M$80,2,0)</f>
        <v>#N/A</v>
      </c>
      <c r="E31" s="81">
        <f t="shared" si="0"/>
        <v>0</v>
      </c>
      <c r="F31" s="81" t="str">
        <f t="shared" si="1"/>
        <v xml:space="preserve"> </v>
      </c>
      <c r="G31" s="81">
        <f t="shared" si="2"/>
        <v>0</v>
      </c>
      <c r="H31" s="82" t="str">
        <f t="shared" si="3"/>
        <v/>
      </c>
      <c r="I31" s="82"/>
    </row>
    <row r="32" spans="1:9" x14ac:dyDescent="0.25">
      <c r="A32" s="57">
        <v>22</v>
      </c>
      <c r="B32" s="64"/>
      <c r="C32" s="58"/>
      <c r="D32" s="56" t="e">
        <f>VLOOKUP(B32,'4.1.2'!$L$1:$M$80,2,0)</f>
        <v>#N/A</v>
      </c>
      <c r="E32" s="81">
        <f t="shared" si="0"/>
        <v>0</v>
      </c>
      <c r="F32" s="81" t="str">
        <f t="shared" si="1"/>
        <v xml:space="preserve"> </v>
      </c>
      <c r="G32" s="81">
        <f t="shared" si="2"/>
        <v>0</v>
      </c>
      <c r="H32" s="82" t="str">
        <f t="shared" si="3"/>
        <v/>
      </c>
      <c r="I32" s="82"/>
    </row>
    <row r="33" spans="1:9" x14ac:dyDescent="0.25">
      <c r="A33" s="57">
        <v>23</v>
      </c>
      <c r="B33" s="64"/>
      <c r="C33" s="58"/>
      <c r="D33" s="56" t="e">
        <f>VLOOKUP(B33,'4.1.2'!$L$1:$M$80,2,0)</f>
        <v>#N/A</v>
      </c>
      <c r="E33" s="81">
        <f t="shared" si="0"/>
        <v>0</v>
      </c>
      <c r="F33" s="81" t="str">
        <f t="shared" si="1"/>
        <v xml:space="preserve"> </v>
      </c>
      <c r="G33" s="81">
        <f t="shared" si="2"/>
        <v>0</v>
      </c>
      <c r="H33" s="82" t="str">
        <f t="shared" si="3"/>
        <v/>
      </c>
      <c r="I33" s="82"/>
    </row>
    <row r="34" spans="1:9" x14ac:dyDescent="0.25">
      <c r="A34" s="57">
        <v>24</v>
      </c>
      <c r="B34" s="64"/>
      <c r="C34" s="58"/>
      <c r="D34" s="56" t="e">
        <f>VLOOKUP(B34,'4.1.2'!$L$1:$M$80,2,0)</f>
        <v>#N/A</v>
      </c>
      <c r="E34" s="81">
        <f t="shared" si="0"/>
        <v>0</v>
      </c>
      <c r="F34" s="81" t="str">
        <f t="shared" si="1"/>
        <v xml:space="preserve"> </v>
      </c>
      <c r="G34" s="81">
        <f t="shared" si="2"/>
        <v>0</v>
      </c>
      <c r="H34" s="82" t="str">
        <f t="shared" si="3"/>
        <v/>
      </c>
      <c r="I34" s="82"/>
    </row>
    <row r="35" spans="1:9" x14ac:dyDescent="0.25">
      <c r="A35" s="57">
        <v>25</v>
      </c>
      <c r="B35" s="64"/>
      <c r="C35" s="58"/>
      <c r="D35" s="56" t="e">
        <f>VLOOKUP(B35,'4.1.2'!$L$1:$M$80,2,0)</f>
        <v>#N/A</v>
      </c>
      <c r="E35" s="81">
        <f t="shared" si="0"/>
        <v>0</v>
      </c>
      <c r="F35" s="81" t="str">
        <f t="shared" si="1"/>
        <v xml:space="preserve"> </v>
      </c>
      <c r="G35" s="81">
        <f t="shared" si="2"/>
        <v>0</v>
      </c>
      <c r="H35" s="82" t="str">
        <f t="shared" si="3"/>
        <v/>
      </c>
      <c r="I35" s="82"/>
    </row>
    <row r="36" spans="1:9" x14ac:dyDescent="0.25">
      <c r="A36" s="57">
        <v>26</v>
      </c>
      <c r="B36" s="64"/>
      <c r="C36" s="58"/>
      <c r="D36" s="56" t="e">
        <f>VLOOKUP(B36,'4.1.2'!$L$1:$M$80,2,0)</f>
        <v>#N/A</v>
      </c>
      <c r="E36" s="81">
        <f t="shared" si="0"/>
        <v>0</v>
      </c>
      <c r="F36" s="81" t="str">
        <f t="shared" si="1"/>
        <v xml:space="preserve"> </v>
      </c>
      <c r="G36" s="81">
        <f t="shared" si="2"/>
        <v>0</v>
      </c>
      <c r="H36" s="82" t="str">
        <f t="shared" si="3"/>
        <v/>
      </c>
      <c r="I36" s="82"/>
    </row>
    <row r="37" spans="1:9" x14ac:dyDescent="0.25">
      <c r="A37" s="57">
        <v>27</v>
      </c>
      <c r="B37" s="64"/>
      <c r="C37" s="58"/>
      <c r="D37" s="56" t="e">
        <f>VLOOKUP(B37,'4.1.2'!$L$1:$M$80,2,0)</f>
        <v>#N/A</v>
      </c>
      <c r="E37" s="81">
        <f t="shared" si="0"/>
        <v>0</v>
      </c>
      <c r="F37" s="81" t="str">
        <f t="shared" si="1"/>
        <v xml:space="preserve"> </v>
      </c>
      <c r="G37" s="81">
        <f t="shared" si="2"/>
        <v>0</v>
      </c>
      <c r="H37" s="82" t="str">
        <f t="shared" si="3"/>
        <v/>
      </c>
      <c r="I37" s="82"/>
    </row>
    <row r="38" spans="1:9" x14ac:dyDescent="0.25">
      <c r="A38" s="57">
        <v>28</v>
      </c>
      <c r="B38" s="64"/>
      <c r="C38" s="58"/>
      <c r="D38" s="56" t="e">
        <f>VLOOKUP(B38,'4.1.2'!$L$1:$M$80,2,0)</f>
        <v>#N/A</v>
      </c>
      <c r="E38" s="81">
        <f t="shared" si="0"/>
        <v>0</v>
      </c>
      <c r="F38" s="81" t="str">
        <f t="shared" si="1"/>
        <v xml:space="preserve"> </v>
      </c>
      <c r="G38" s="81">
        <f t="shared" si="2"/>
        <v>0</v>
      </c>
      <c r="H38" s="82" t="str">
        <f t="shared" si="3"/>
        <v/>
      </c>
      <c r="I38" s="82"/>
    </row>
    <row r="39" spans="1:9" x14ac:dyDescent="0.25">
      <c r="A39" s="57">
        <v>29</v>
      </c>
      <c r="B39" s="64"/>
      <c r="C39" s="58"/>
      <c r="D39" s="56" t="e">
        <f>VLOOKUP(B39,'4.1.2'!$L$1:$M$80,2,0)</f>
        <v>#N/A</v>
      </c>
      <c r="E39" s="81">
        <f t="shared" si="0"/>
        <v>0</v>
      </c>
      <c r="F39" s="81" t="str">
        <f t="shared" si="1"/>
        <v xml:space="preserve"> </v>
      </c>
      <c r="G39" s="81">
        <f t="shared" si="2"/>
        <v>0</v>
      </c>
      <c r="H39" s="82" t="str">
        <f t="shared" si="3"/>
        <v/>
      </c>
      <c r="I39" s="82"/>
    </row>
    <row r="40" spans="1:9" x14ac:dyDescent="0.25">
      <c r="A40" s="57">
        <v>30</v>
      </c>
      <c r="B40" s="64"/>
      <c r="C40" s="58"/>
      <c r="D40" s="56" t="e">
        <f>VLOOKUP(B40,'4.1.2'!$L$1:$M$80,2,0)</f>
        <v>#N/A</v>
      </c>
      <c r="E40" s="81">
        <f t="shared" si="0"/>
        <v>0</v>
      </c>
      <c r="F40" s="81" t="str">
        <f t="shared" si="1"/>
        <v xml:space="preserve"> </v>
      </c>
      <c r="G40" s="81">
        <f t="shared" si="2"/>
        <v>0</v>
      </c>
      <c r="H40" s="82" t="str">
        <f t="shared" si="3"/>
        <v/>
      </c>
      <c r="I40" s="82"/>
    </row>
    <row r="43" spans="1:9" hidden="1" x14ac:dyDescent="0.25">
      <c r="A43" s="59"/>
      <c r="B43" s="59"/>
      <c r="C43" s="59"/>
      <c r="D43" s="59"/>
      <c r="E43" s="60">
        <f>SUM(E11:E40)</f>
        <v>0</v>
      </c>
      <c r="F43" s="61">
        <f>COUNT(F11:F40)</f>
        <v>0</v>
      </c>
      <c r="G43" s="59"/>
      <c r="H43" s="59"/>
      <c r="I43" s="59"/>
    </row>
    <row r="44" spans="1:9" x14ac:dyDescent="0.25">
      <c r="B44" s="53" t="s">
        <v>79</v>
      </c>
      <c r="E44" s="62">
        <f>IFERROR(F44,0)</f>
        <v>0</v>
      </c>
      <c r="F44" s="63" t="e">
        <f>E43/F43</f>
        <v>#DIV/0!</v>
      </c>
    </row>
  </sheetData>
  <sheetProtection password="CD91" sheet="1" objects="1" scenarios="1"/>
  <mergeCells count="2">
    <mergeCell ref="B4:I4"/>
    <mergeCell ref="B5:I5"/>
  </mergeCells>
  <conditionalFormatting sqref="H11:H40">
    <cfRule type="cellIs" dxfId="1" priority="2" operator="equal">
      <formula>"okres je zadaný viackrát"</formula>
    </cfRule>
  </conditionalFormatting>
  <conditionalFormatting sqref="I11:I40">
    <cfRule type="cellIs" dxfId="0" priority="1" operator="equal">
      <formula>"nezadané miesto realizácie"</formula>
    </cfRule>
  </conditionalFormatting>
  <pageMargins left="0.19685039370078741" right="0.19685039370078741" top="0.74803149606299213" bottom="0.74803149606299213" header="0.31496062992125984" footer="0.31496062992125984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'4.1.2'!$L$1:$L$80</xm:f>
          </x14:formula1>
          <xm:sqref>B11:B40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4.1.2</vt:lpstr>
      <vt:lpstr>Nezamestanosť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dcterms:created xsi:type="dcterms:W3CDTF">2015-05-13T08:12:01Z</dcterms:created>
  <dcterms:modified xsi:type="dcterms:W3CDTF">2015-06-04T12:52:26Z</dcterms:modified>
</cp:coreProperties>
</file>